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435" tabRatio="597" activeTab="0"/>
  </bookViews>
  <sheets>
    <sheet name="โควตา พณ.งวด 51-52" sheetId="1" r:id="rId1"/>
  </sheets>
  <definedNames>
    <definedName name="_xlnm.Print_Area" localSheetId="0">'โควตา พณ.งวด 51-52'!$B$3:$AE$71</definedName>
    <definedName name="_xlnm.Print_Titles" localSheetId="0">'โควตา พณ.งวด 51-52'!$5:$7</definedName>
  </definedNames>
  <calcPr fullCalcOnLoad="1"/>
</workbook>
</file>

<file path=xl/comments1.xml><?xml version="1.0" encoding="utf-8"?>
<comments xmlns="http://schemas.openxmlformats.org/spreadsheetml/2006/main">
  <authors>
    <author>Nova</author>
  </authors>
  <commentList>
    <comment ref="D5" authorId="0">
      <text>
        <r>
          <rPr>
            <b/>
            <sz val="8"/>
            <rFont val="Tahoma"/>
            <family val="2"/>
          </rPr>
          <t>Nova: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<sst xmlns="http://schemas.openxmlformats.org/spreadsheetml/2006/main" count="101" uniqueCount="91">
  <si>
    <t>รวมทั้งสิ้น</t>
  </si>
  <si>
    <t xml:space="preserve">      ชื่อโรงงาน</t>
  </si>
  <si>
    <t xml:space="preserve">           รวมกลุ่ม</t>
  </si>
  <si>
    <t>บริษัท น้ำตาลทรายกำแพงเพชร จำกัด</t>
  </si>
  <si>
    <t>บริษัท น้ำตาลนครเพชร จำกัด</t>
  </si>
  <si>
    <t>บริษัท น้ำตาลบ้านโป่ง จำกัด</t>
  </si>
  <si>
    <t>บริษัท ไทยเพิ่มพูนอุตสาหกรรม จำกัด</t>
  </si>
  <si>
    <t>บริษัท ไทยอุตสาหกรรมน้ำตาล จำกัด</t>
  </si>
  <si>
    <t>บริษัท ไทยรุ่งเรืองอุตสาหกรรม จำกัด</t>
  </si>
  <si>
    <t>บริษัท น้ำตาลสระบุรี จำกัด</t>
  </si>
  <si>
    <t>บริษัท สหการน้ำตาลชลบุรี จำกัด</t>
  </si>
  <si>
    <t>บริษัท น้ำตาลพิษณุโลก  จำกัด</t>
  </si>
  <si>
    <t>บริษัท อุตสาหกรรมน้ำตาลอีสาน จำกัด</t>
  </si>
  <si>
    <t>บริษัท น้ำตาลขอนแก่น จำกัด</t>
  </si>
  <si>
    <t>บริษัท น้ำตาลท่ามะกา จำกัด</t>
  </si>
  <si>
    <t>บริษัท โรงงานน้ำตาลนิวกรุงไทย จำกัด</t>
  </si>
  <si>
    <t>บริษัท น้ำตาลนิวกว้างสุ้นหลี จำกัด</t>
  </si>
  <si>
    <t>บริษัท อุตสาหกรรมน้ำตาลแม่วัง จำกัด</t>
  </si>
  <si>
    <t>บริษัท อุตสาหกรรมน้ำตาลอุตรดิตถ์ จำกัด</t>
  </si>
  <si>
    <t>บริษัท อุตสาหกรรมน้ำตาลสุพรรณบุรี จำกัด</t>
  </si>
  <si>
    <t>บริษัท น้ำตาลสิงห์บุรี จำกัด</t>
  </si>
  <si>
    <t>บริษัท น้ำตาลมิตรผล จำกัด (กาฬสินธุ์)</t>
  </si>
  <si>
    <t>บริษัท รวมเกษตรกรอุตสาหกรรม จำกัด</t>
  </si>
  <si>
    <t>บริษัท น้ำตาลมิตรภูเวียง จำกัด</t>
  </si>
  <si>
    <t>บริษัท น้ำตาลมิตรผล จำกัด</t>
  </si>
  <si>
    <t>บริษัท อุตสาหกรรมน้ำตาล ที.เอ็น. จำกัด</t>
  </si>
  <si>
    <t>บริษัท น้ำตาลวังขนาย จำกัด</t>
  </si>
  <si>
    <t>บริษัท น้ำตาลรีไฟน์ชัยมงคล จำกัด</t>
  </si>
  <si>
    <t>บริษัท อุตสาหกรรมอ่างเวียน จำกัด</t>
  </si>
  <si>
    <t>บริษัท น้ำตาลกุมภวาปี จำกัด</t>
  </si>
  <si>
    <t>บริษัท น้ำตาลเกษตรผล จำกัด</t>
  </si>
  <si>
    <t>บริษัท รวมผลอุตสาหกรรมนครสวรรค์ จำกัด</t>
  </si>
  <si>
    <t>บริษัท น้ำตาลไทยเอกลักษณ์ จำกัด</t>
  </si>
  <si>
    <t>บริษัท ประจวบอุตสาหกรรม จำกัด</t>
  </si>
  <si>
    <t>บริษัท น้ำตาลไทยกาญจนบุรี จำกัด</t>
  </si>
  <si>
    <t>บริษัท อุตสาหกรรมมิตรเกษตร จำกัด</t>
  </si>
  <si>
    <t>บริษัท น้ำตาลราชบุรี จำกัด</t>
  </si>
  <si>
    <t>บริษัท อุตสาหกรรมน้ำตาลปราณบุรี จำกัด</t>
  </si>
  <si>
    <t>บริษัท น้ำตาลและอ้อยตะวันออก จำกัด</t>
  </si>
  <si>
    <t>บริษัท น้ำตาลระยอง จำกัด</t>
  </si>
  <si>
    <t>บริษัท โรงงานน้ำตาลทรายขาวเริ่มอุดม จำกัด</t>
  </si>
  <si>
    <t>บริษัท สหเรือง จำกัด</t>
  </si>
  <si>
    <t>บริษัท น้ำตาลบุรีรัมย์ จำกัด</t>
  </si>
  <si>
    <t xml:space="preserve">บัญชีจัดสรรปริมาณน้ำตาลทรายขาวและขาวบริสุทธิ์   โควตา ก. ฤดูการผลิตปี 2552/2553 </t>
  </si>
  <si>
    <t>บริษัท อุตสาหกรรมน้ำตาลบ้านไร่ จำกัด</t>
  </si>
  <si>
    <t>บริษัท น้ำตาลเอราวัณ จำกัด</t>
  </si>
  <si>
    <t>บริษัท น้ำตาลครบุรี จำกัด</t>
  </si>
  <si>
    <t>บริษัท น้ำตาลสุรินทร์ จำกัด</t>
  </si>
  <si>
    <t>บริษัท น้ำตาลโคราช จำกัด</t>
  </si>
  <si>
    <t>บริษัท น้ำตาลเกษตรไทยอุตสาหกรรม  จำกัด</t>
  </si>
  <si>
    <t>งวด 51</t>
  </si>
  <si>
    <t>งวด 52</t>
  </si>
  <si>
    <t xml:space="preserve"> 22  มี.ค. 53</t>
  </si>
  <si>
    <t>ปริมาณ</t>
  </si>
  <si>
    <t xml:space="preserve"> ศูนย์บริหารการผลิตฯ</t>
  </si>
  <si>
    <t>ตังฮั้วค้าข้าว</t>
  </si>
  <si>
    <t>12  มี.ค. 53</t>
  </si>
  <si>
    <t>ฝ่ายบริหารการจำหน่าย</t>
  </si>
  <si>
    <t>ชัยดีเวลล็อป</t>
  </si>
  <si>
    <t>ณัฎฐนนท์</t>
  </si>
  <si>
    <t>โฮม ออโต</t>
  </si>
  <si>
    <t>อดัม ดิสทริ</t>
  </si>
  <si>
    <t>ต.ชัยพัฒนา</t>
  </si>
  <si>
    <t>งวดจัดสรร</t>
  </si>
  <si>
    <t>เพิ่ม-ลด</t>
  </si>
  <si>
    <t>โควตา พณ.</t>
  </si>
  <si>
    <t>หน่วย 100 กก./กส.</t>
  </si>
  <si>
    <t>ที.เอ.ซี คอน</t>
  </si>
  <si>
    <t>เอ.ที.ดับบลิว</t>
  </si>
  <si>
    <t>รวมโควตา</t>
  </si>
  <si>
    <t>พณ. 2 งวด</t>
  </si>
  <si>
    <t>การจำหน่าย</t>
  </si>
  <si>
    <t>รวมปริมาณ</t>
  </si>
  <si>
    <t>ค้างกระดาน</t>
  </si>
  <si>
    <t>ที.ที.บี.ธุรกิจ</t>
  </si>
  <si>
    <t>โค้วเทียมเส็ง</t>
  </si>
  <si>
    <t>ร้อยเอ็ดไฮ</t>
  </si>
  <si>
    <t>บ.สะดมภ์</t>
  </si>
  <si>
    <t xml:space="preserve">บางกอก </t>
  </si>
  <si>
    <t>ประเสริฐ</t>
  </si>
  <si>
    <t>พาณิชย์ จว.</t>
  </si>
  <si>
    <t>รัตนากร</t>
  </si>
  <si>
    <t>จำนวน  1   ล้านกระสอบ   ที่กระทรวงพาณิชย์เป็นผู้บริหารจัดการ</t>
  </si>
  <si>
    <t>จึงใจ้หมง</t>
  </si>
  <si>
    <t>แมคโคร</t>
  </si>
  <si>
    <t>ล.นิธิโรจน์</t>
  </si>
  <si>
    <t>สุวพีร์</t>
  </si>
  <si>
    <t xml:space="preserve"> </t>
  </si>
  <si>
    <t>วิฑูรโฮล</t>
  </si>
  <si>
    <t>อ่อนนุช</t>
  </si>
  <si>
    <t xml:space="preserve"> ปริมาณการจำหน่าย  ตั้งแต่วันที่   31/03/53  -  8/04/54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</si>
</sst>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#,##0.000_);\(#,##0.000\)"/>
    <numFmt numFmtId="189" formatCode="#,##0.000;\-#,##0.000"/>
    <numFmt numFmtId="190" formatCode="#,##0.00_);\(#,##0.00\)"/>
    <numFmt numFmtId="191" formatCode="0.0"/>
    <numFmt numFmtId="192" formatCode="0.0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???_-;_-@_-"/>
    <numFmt numFmtId="197" formatCode="[$-41E]d\ mmmm\ yyyy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_-* #,##0.0_-;\-* #,##0.0_-;_-* &quot;-&quot;?_-;_-@_-"/>
  </numFmts>
  <fonts count="49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ngsanaUPC"/>
      <family val="1"/>
    </font>
    <font>
      <sz val="12"/>
      <name val="AngsanaUPC"/>
      <family val="1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3" fontId="3" fillId="0" borderId="0" xfId="42" applyFont="1" applyBorder="1" applyAlignment="1">
      <alignment/>
    </xf>
    <xf numFmtId="43" fontId="2" fillId="0" borderId="0" xfId="0" applyNumberFormat="1" applyFont="1" applyBorder="1" applyAlignment="1" applyProtection="1">
      <alignment/>
      <protection/>
    </xf>
    <xf numFmtId="43" fontId="2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>
      <alignment vertical="center"/>
    </xf>
    <xf numFmtId="9" fontId="2" fillId="0" borderId="11" xfId="0" applyNumberFormat="1" applyFont="1" applyBorder="1" applyAlignment="1" applyProtection="1">
      <alignment horizontal="center" vertical="center"/>
      <protection/>
    </xf>
    <xf numFmtId="14" fontId="2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10" fillId="0" borderId="12" xfId="0" applyNumberFormat="1" applyFont="1" applyBorder="1" applyAlignment="1" applyProtection="1">
      <alignment horizontal="center"/>
      <protection/>
    </xf>
    <xf numFmtId="199" fontId="0" fillId="0" borderId="0" xfId="0" applyNumberFormat="1" applyAlignment="1">
      <alignment/>
    </xf>
    <xf numFmtId="199" fontId="3" fillId="0" borderId="0" xfId="0" applyNumberFormat="1" applyFont="1" applyBorder="1" applyAlignment="1" applyProtection="1">
      <alignment/>
      <protection/>
    </xf>
    <xf numFmtId="9" fontId="10" fillId="0" borderId="13" xfId="0" applyNumberFormat="1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43" fontId="0" fillId="0" borderId="0" xfId="0" applyNumberFormat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NumberFormat="1" applyFont="1" applyBorder="1" applyAlignment="1">
      <alignment/>
    </xf>
    <xf numFmtId="199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99" fontId="3" fillId="0" borderId="0" xfId="42" applyNumberFormat="1" applyFont="1" applyBorder="1" applyAlignment="1" applyProtection="1">
      <alignment/>
      <protection/>
    </xf>
    <xf numFmtId="199" fontId="3" fillId="0" borderId="0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42" applyFont="1" applyBorder="1" applyAlignment="1">
      <alignment/>
    </xf>
    <xf numFmtId="198" fontId="2" fillId="0" borderId="0" xfId="0" applyNumberFormat="1" applyFont="1" applyAlignment="1">
      <alignment/>
    </xf>
    <xf numFmtId="43" fontId="1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199" fontId="1" fillId="0" borderId="0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43" fontId="1" fillId="0" borderId="0" xfId="0" applyNumberFormat="1" applyFont="1" applyFill="1" applyBorder="1" applyAlignment="1" applyProtection="1">
      <alignment/>
      <protection/>
    </xf>
    <xf numFmtId="199" fontId="9" fillId="0" borderId="0" xfId="42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10" fillId="0" borderId="14" xfId="42" applyNumberFormat="1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99" fontId="9" fillId="0" borderId="0" xfId="0" applyNumberFormat="1" applyFont="1" applyBorder="1" applyAlignment="1" applyProtection="1">
      <alignment/>
      <protection/>
    </xf>
    <xf numFmtId="43" fontId="0" fillId="0" borderId="0" xfId="0" applyNumberFormat="1" applyBorder="1" applyAlignment="1">
      <alignment/>
    </xf>
    <xf numFmtId="198" fontId="0" fillId="0" borderId="0" xfId="42" applyNumberFormat="1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9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9" fontId="10" fillId="0" borderId="17" xfId="0" applyNumberFormat="1" applyFont="1" applyBorder="1" applyAlignment="1" applyProtection="1" quotePrefix="1">
      <alignment horizontal="center" vertical="center"/>
      <protection/>
    </xf>
    <xf numFmtId="9" fontId="10" fillId="0" borderId="17" xfId="0" applyNumberFormat="1" applyFont="1" applyBorder="1" applyAlignment="1" applyProtection="1">
      <alignment horizontal="left" vertical="center"/>
      <protection/>
    </xf>
    <xf numFmtId="9" fontId="10" fillId="0" borderId="17" xfId="0" applyNumberFormat="1" applyFont="1" applyBorder="1" applyAlignment="1" applyProtection="1">
      <alignment horizontal="center" vertical="center"/>
      <protection/>
    </xf>
    <xf numFmtId="9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 applyProtection="1">
      <alignment horizontal="left"/>
      <protection/>
    </xf>
    <xf numFmtId="199" fontId="10" fillId="0" borderId="13" xfId="0" applyNumberFormat="1" applyFont="1" applyBorder="1" applyAlignment="1" applyProtection="1">
      <alignment horizontal="left"/>
      <protection/>
    </xf>
    <xf numFmtId="199" fontId="10" fillId="0" borderId="19" xfId="0" applyNumberFormat="1" applyFont="1" applyBorder="1" applyAlignment="1">
      <alignment/>
    </xf>
    <xf numFmtId="199" fontId="10" fillId="0" borderId="20" xfId="42" applyNumberFormat="1" applyFont="1" applyBorder="1" applyAlignment="1">
      <alignment/>
    </xf>
    <xf numFmtId="199" fontId="10" fillId="0" borderId="19" xfId="42" applyNumberFormat="1" applyFont="1" applyBorder="1" applyAlignment="1">
      <alignment/>
    </xf>
    <xf numFmtId="0" fontId="4" fillId="0" borderId="21" xfId="0" applyFont="1" applyBorder="1" applyAlignment="1" applyProtection="1">
      <alignment horizontal="left"/>
      <protection/>
    </xf>
    <xf numFmtId="199" fontId="10" fillId="0" borderId="22" xfId="0" applyNumberFormat="1" applyFont="1" applyBorder="1" applyAlignment="1" applyProtection="1">
      <alignment horizontal="left"/>
      <protection/>
    </xf>
    <xf numFmtId="199" fontId="10" fillId="0" borderId="23" xfId="0" applyNumberFormat="1" applyFont="1" applyBorder="1" applyAlignment="1" applyProtection="1">
      <alignment/>
      <protection/>
    </xf>
    <xf numFmtId="199" fontId="10" fillId="0" borderId="22" xfId="42" applyNumberFormat="1" applyFont="1" applyBorder="1" applyAlignment="1">
      <alignment/>
    </xf>
    <xf numFmtId="199" fontId="10" fillId="0" borderId="24" xfId="42" applyNumberFormat="1" applyFont="1" applyBorder="1" applyAlignment="1">
      <alignment/>
    </xf>
    <xf numFmtId="199" fontId="10" fillId="0" borderId="17" xfId="0" applyNumberFormat="1" applyFont="1" applyBorder="1" applyAlignment="1">
      <alignment/>
    </xf>
    <xf numFmtId="199" fontId="10" fillId="0" borderId="22" xfId="0" applyNumberFormat="1" applyFont="1" applyBorder="1" applyAlignment="1">
      <alignment/>
    </xf>
    <xf numFmtId="0" fontId="4" fillId="0" borderId="15" xfId="0" applyFont="1" applyBorder="1" applyAlignment="1" applyProtection="1">
      <alignment horizontal="left"/>
      <protection/>
    </xf>
    <xf numFmtId="199" fontId="4" fillId="0" borderId="13" xfId="0" applyNumberFormat="1" applyFont="1" applyBorder="1" applyAlignment="1" applyProtection="1">
      <alignment/>
      <protection/>
    </xf>
    <xf numFmtId="199" fontId="4" fillId="0" borderId="12" xfId="0" applyNumberFormat="1" applyFont="1" applyBorder="1" applyAlignment="1" applyProtection="1">
      <alignment/>
      <protection/>
    </xf>
    <xf numFmtId="199" fontId="10" fillId="0" borderId="19" xfId="0" applyNumberFormat="1" applyFont="1" applyBorder="1" applyAlignment="1" applyProtection="1">
      <alignment horizontal="left"/>
      <protection/>
    </xf>
    <xf numFmtId="198" fontId="10" fillId="0" borderId="19" xfId="42" applyNumberFormat="1" applyFont="1" applyBorder="1" applyAlignment="1">
      <alignment/>
    </xf>
    <xf numFmtId="199" fontId="10" fillId="0" borderId="13" xfId="42" applyNumberFormat="1" applyFont="1" applyBorder="1" applyAlignment="1">
      <alignment/>
    </xf>
    <xf numFmtId="198" fontId="10" fillId="0" borderId="19" xfId="0" applyNumberFormat="1" applyFont="1" applyBorder="1" applyAlignment="1">
      <alignment/>
    </xf>
    <xf numFmtId="199" fontId="10" fillId="0" borderId="24" xfId="0" applyNumberFormat="1" applyFont="1" applyBorder="1" applyAlignment="1">
      <alignment/>
    </xf>
    <xf numFmtId="198" fontId="4" fillId="0" borderId="12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199" fontId="10" fillId="0" borderId="19" xfId="0" applyNumberFormat="1" applyFont="1" applyBorder="1" applyAlignment="1" applyProtection="1">
      <alignment/>
      <protection/>
    </xf>
    <xf numFmtId="199" fontId="10" fillId="0" borderId="13" xfId="0" applyNumberFormat="1" applyFont="1" applyBorder="1" applyAlignment="1">
      <alignment/>
    </xf>
    <xf numFmtId="0" fontId="4" fillId="0" borderId="14" xfId="0" applyFont="1" applyBorder="1" applyAlignment="1" applyProtection="1">
      <alignment horizontal="left"/>
      <protection/>
    </xf>
    <xf numFmtId="199" fontId="10" fillId="0" borderId="24" xfId="0" applyNumberFormat="1" applyFont="1" applyBorder="1" applyAlignment="1" applyProtection="1">
      <alignment horizontal="left"/>
      <protection/>
    </xf>
    <xf numFmtId="199" fontId="10" fillId="0" borderId="14" xfId="0" applyNumberFormat="1" applyFont="1" applyBorder="1" applyAlignment="1" applyProtection="1">
      <alignment/>
      <protection/>
    </xf>
    <xf numFmtId="199" fontId="10" fillId="0" borderId="14" xfId="0" applyNumberFormat="1" applyFont="1" applyBorder="1" applyAlignment="1">
      <alignment/>
    </xf>
    <xf numFmtId="199" fontId="10" fillId="0" borderId="17" xfId="0" applyNumberFormat="1" applyFont="1" applyBorder="1" applyAlignment="1" applyProtection="1">
      <alignment horizontal="left"/>
      <protection/>
    </xf>
    <xf numFmtId="199" fontId="10" fillId="0" borderId="24" xfId="0" applyNumberFormat="1" applyFont="1" applyBorder="1" applyAlignment="1" applyProtection="1">
      <alignment/>
      <protection/>
    </xf>
    <xf numFmtId="199" fontId="10" fillId="0" borderId="23" xfId="42" applyNumberFormat="1" applyFont="1" applyBorder="1" applyAlignment="1">
      <alignment/>
    </xf>
    <xf numFmtId="199" fontId="10" fillId="0" borderId="14" xfId="0" applyNumberFormat="1" applyFont="1" applyBorder="1" applyAlignment="1" applyProtection="1">
      <alignment horizontal="left"/>
      <protection/>
    </xf>
    <xf numFmtId="198" fontId="10" fillId="0" borderId="14" xfId="42" applyNumberFormat="1" applyFont="1" applyBorder="1" applyAlignment="1">
      <alignment/>
    </xf>
    <xf numFmtId="198" fontId="10" fillId="0" borderId="14" xfId="0" applyNumberFormat="1" applyFont="1" applyBorder="1" applyAlignment="1">
      <alignment/>
    </xf>
    <xf numFmtId="199" fontId="10" fillId="0" borderId="17" xfId="42" applyNumberFormat="1" applyFont="1" applyBorder="1" applyAlignment="1">
      <alignment/>
    </xf>
    <xf numFmtId="199" fontId="4" fillId="0" borderId="12" xfId="42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left"/>
      <protection/>
    </xf>
    <xf numFmtId="199" fontId="10" fillId="0" borderId="22" xfId="0" applyNumberFormat="1" applyFont="1" applyBorder="1" applyAlignment="1" applyProtection="1">
      <alignment/>
      <protection/>
    </xf>
    <xf numFmtId="199" fontId="10" fillId="0" borderId="20" xfId="0" applyNumberFormat="1" applyFont="1" applyBorder="1" applyAlignment="1" applyProtection="1">
      <alignment/>
      <protection/>
    </xf>
    <xf numFmtId="198" fontId="10" fillId="0" borderId="13" xfId="42" applyNumberFormat="1" applyFont="1" applyBorder="1" applyAlignment="1">
      <alignment/>
    </xf>
    <xf numFmtId="198" fontId="10" fillId="0" borderId="24" xfId="0" applyNumberFormat="1" applyFont="1" applyBorder="1" applyAlignment="1">
      <alignment/>
    </xf>
    <xf numFmtId="198" fontId="10" fillId="0" borderId="22" xfId="42" applyNumberFormat="1" applyFont="1" applyBorder="1" applyAlignment="1">
      <alignment/>
    </xf>
    <xf numFmtId="199" fontId="10" fillId="0" borderId="23" xfId="0" applyNumberFormat="1" applyFont="1" applyBorder="1" applyAlignment="1">
      <alignment/>
    </xf>
    <xf numFmtId="0" fontId="4" fillId="0" borderId="23" xfId="0" applyFont="1" applyBorder="1" applyAlignment="1" applyProtection="1">
      <alignment horizontal="left"/>
      <protection/>
    </xf>
    <xf numFmtId="199" fontId="10" fillId="0" borderId="14" xfId="42" applyNumberFormat="1" applyFont="1" applyBorder="1" applyAlignment="1" applyProtection="1">
      <alignment/>
      <protection/>
    </xf>
    <xf numFmtId="199" fontId="10" fillId="0" borderId="20" xfId="42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15" xfId="0" applyFont="1" applyBorder="1" applyAlignment="1">
      <alignment horizontal="center"/>
    </xf>
    <xf numFmtId="198" fontId="4" fillId="0" borderId="12" xfId="42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95"/>
  <sheetViews>
    <sheetView tabSelected="1" zoomScalePageLayoutView="0" workbookViewId="0" topLeftCell="A3">
      <pane xSplit="7" ySplit="5" topLeftCell="U56" activePane="bottomRight" state="frozen"/>
      <selection pane="topLeft" activeCell="A3" sqref="A3"/>
      <selection pane="topRight" activeCell="H3" sqref="H3"/>
      <selection pane="bottomLeft" activeCell="A8" sqref="A8"/>
      <selection pane="bottomRight" activeCell="W65" sqref="W65"/>
    </sheetView>
  </sheetViews>
  <sheetFormatPr defaultColWidth="9.140625" defaultRowHeight="21.75"/>
  <cols>
    <col min="1" max="1" width="4.00390625" style="0" customWidth="1"/>
    <col min="2" max="2" width="27.8515625" style="0" customWidth="1"/>
    <col min="3" max="3" width="8.140625" style="55" customWidth="1"/>
    <col min="4" max="4" width="8.7109375" style="55" hidden="1" customWidth="1"/>
    <col min="5" max="5" width="8.57421875" style="55" hidden="1" customWidth="1"/>
    <col min="6" max="6" width="8.8515625" style="55" hidden="1" customWidth="1"/>
    <col min="7" max="7" width="8.421875" style="0" hidden="1" customWidth="1"/>
    <col min="8" max="8" width="6.8515625" style="0" customWidth="1"/>
    <col min="9" max="10" width="7.28125" style="0" customWidth="1"/>
    <col min="11" max="11" width="8.57421875" style="0" customWidth="1"/>
    <col min="12" max="12" width="8.00390625" style="0" customWidth="1"/>
    <col min="13" max="13" width="7.28125" style="0" customWidth="1"/>
    <col min="14" max="14" width="8.00390625" style="0" customWidth="1"/>
    <col min="15" max="15" width="7.57421875" style="0" customWidth="1"/>
    <col min="16" max="16" width="7.421875" style="0" customWidth="1"/>
    <col min="17" max="17" width="8.28125" style="0" customWidth="1"/>
    <col min="18" max="18" width="5.8515625" style="0" customWidth="1"/>
    <col min="19" max="19" width="7.28125" style="0" customWidth="1"/>
    <col min="20" max="20" width="7.8515625" style="0" customWidth="1"/>
    <col min="21" max="21" width="8.7109375" style="0" customWidth="1"/>
    <col min="22" max="22" width="8.28125" style="0" customWidth="1"/>
    <col min="23" max="23" width="7.421875" style="0" customWidth="1"/>
    <col min="24" max="24" width="5.421875" style="0" customWidth="1"/>
    <col min="25" max="25" width="6.28125" style="0" customWidth="1"/>
    <col min="26" max="26" width="6.57421875" style="0" customWidth="1"/>
    <col min="27" max="27" width="6.00390625" style="0" customWidth="1"/>
    <col min="28" max="28" width="5.421875" style="0" customWidth="1"/>
    <col min="29" max="29" width="5.57421875" style="0" customWidth="1"/>
    <col min="30" max="30" width="8.57421875" style="0" customWidth="1"/>
    <col min="31" max="31" width="8.8515625" style="0" customWidth="1"/>
    <col min="32" max="32" width="11.00390625" style="0" customWidth="1"/>
    <col min="33" max="33" width="11.00390625" style="0" bestFit="1" customWidth="1"/>
    <col min="34" max="34" width="10.57421875" style="0" customWidth="1"/>
    <col min="35" max="35" width="11.28125" style="0" bestFit="1" customWidth="1"/>
  </cols>
  <sheetData>
    <row r="1" ht="21.75"/>
    <row r="2" spans="2:30" ht="23.25">
      <c r="B2" s="59"/>
      <c r="C2" s="59"/>
      <c r="D2" s="59"/>
      <c r="E2" s="59"/>
      <c r="F2" s="59"/>
      <c r="G2" s="59"/>
      <c r="H2" s="5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3:40" ht="21.75" customHeight="1">
      <c r="C3" s="52"/>
      <c r="D3" s="52"/>
      <c r="E3" s="52"/>
      <c r="F3" s="52"/>
      <c r="G3" s="60" t="s">
        <v>43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13"/>
      <c r="AG3" s="5"/>
      <c r="AH3" s="5"/>
      <c r="AI3" s="18"/>
      <c r="AJ3" s="18"/>
      <c r="AK3" s="18"/>
      <c r="AL3" s="18"/>
      <c r="AM3" s="18"/>
      <c r="AN3" s="18"/>
    </row>
    <row r="4" spans="3:40" ht="21.75" customHeight="1">
      <c r="C4" s="52"/>
      <c r="D4" s="52"/>
      <c r="E4" s="52"/>
      <c r="F4" s="52"/>
      <c r="G4" s="59" t="s">
        <v>82</v>
      </c>
      <c r="H4" s="59"/>
      <c r="I4" s="59"/>
      <c r="J4" s="59"/>
      <c r="K4" s="59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13"/>
      <c r="AG4" s="5"/>
      <c r="AH4" s="5"/>
      <c r="AI4" s="5"/>
      <c r="AJ4" s="5"/>
      <c r="AK4" s="5"/>
      <c r="AL4" s="5"/>
      <c r="AM4" s="5"/>
      <c r="AN4" s="19"/>
    </row>
    <row r="5" spans="2:37" ht="21.75" customHeight="1">
      <c r="B5" s="6"/>
      <c r="C5" s="53"/>
      <c r="D5" s="7"/>
      <c r="E5" s="8"/>
      <c r="F5" s="8"/>
      <c r="G5" s="8"/>
      <c r="H5" s="12"/>
      <c r="I5" s="14"/>
      <c r="J5" s="17"/>
      <c r="K5" s="17"/>
      <c r="Q5" s="35"/>
      <c r="R5" s="35"/>
      <c r="S5" s="35"/>
      <c r="T5" s="35"/>
      <c r="U5" s="35"/>
      <c r="V5" s="35"/>
      <c r="W5" s="35" t="s">
        <v>66</v>
      </c>
      <c r="X5" s="35"/>
      <c r="Y5" s="35"/>
      <c r="Z5" s="35"/>
      <c r="AA5" s="35"/>
      <c r="AB5" s="35"/>
      <c r="AC5" s="35"/>
      <c r="AD5" s="36"/>
      <c r="AE5" s="15"/>
      <c r="AG5" s="37"/>
      <c r="AH5" s="37"/>
      <c r="AI5" s="37"/>
      <c r="AJ5" s="37"/>
      <c r="AK5" s="37"/>
    </row>
    <row r="6" spans="2:37" ht="21.75" customHeight="1">
      <c r="B6" s="63" t="s">
        <v>1</v>
      </c>
      <c r="C6" s="64" t="s">
        <v>65</v>
      </c>
      <c r="D6" s="65" t="s">
        <v>50</v>
      </c>
      <c r="E6" s="65" t="s">
        <v>51</v>
      </c>
      <c r="F6" s="65" t="s">
        <v>63</v>
      </c>
      <c r="G6" s="65" t="s">
        <v>69</v>
      </c>
      <c r="H6" s="66" t="s">
        <v>90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8"/>
      <c r="W6" s="68"/>
      <c r="X6" s="68"/>
      <c r="Y6" s="68"/>
      <c r="Z6" s="68"/>
      <c r="AA6" s="68"/>
      <c r="AB6" s="68"/>
      <c r="AC6" s="68"/>
      <c r="AD6" s="69" t="s">
        <v>72</v>
      </c>
      <c r="AE6" s="64" t="s">
        <v>53</v>
      </c>
      <c r="AF6" s="27"/>
      <c r="AG6" s="27"/>
      <c r="AH6" s="27"/>
      <c r="AI6" s="27"/>
      <c r="AJ6" s="29"/>
      <c r="AK6" s="29"/>
    </row>
    <row r="7" spans="2:37" ht="21.75" customHeight="1">
      <c r="B7" s="70"/>
      <c r="C7" s="71"/>
      <c r="D7" s="72" t="s">
        <v>56</v>
      </c>
      <c r="E7" s="73" t="s">
        <v>52</v>
      </c>
      <c r="F7" s="74" t="s">
        <v>64</v>
      </c>
      <c r="G7" s="75" t="s">
        <v>70</v>
      </c>
      <c r="H7" s="23" t="s">
        <v>83</v>
      </c>
      <c r="I7" s="23" t="s">
        <v>61</v>
      </c>
      <c r="J7" s="23" t="s">
        <v>62</v>
      </c>
      <c r="K7" s="20" t="s">
        <v>80</v>
      </c>
      <c r="L7" s="20" t="s">
        <v>55</v>
      </c>
      <c r="M7" s="20" t="s">
        <v>76</v>
      </c>
      <c r="N7" s="20" t="s">
        <v>58</v>
      </c>
      <c r="O7" s="20" t="s">
        <v>59</v>
      </c>
      <c r="P7" s="20" t="s">
        <v>60</v>
      </c>
      <c r="Q7" s="20" t="s">
        <v>68</v>
      </c>
      <c r="R7" s="20" t="s">
        <v>81</v>
      </c>
      <c r="S7" s="20" t="s">
        <v>79</v>
      </c>
      <c r="T7" s="20" t="s">
        <v>67</v>
      </c>
      <c r="U7" s="23" t="s">
        <v>74</v>
      </c>
      <c r="V7" s="23" t="s">
        <v>75</v>
      </c>
      <c r="W7" s="23" t="s">
        <v>77</v>
      </c>
      <c r="X7" s="23" t="s">
        <v>78</v>
      </c>
      <c r="Y7" s="20" t="s">
        <v>84</v>
      </c>
      <c r="Z7" s="23" t="s">
        <v>85</v>
      </c>
      <c r="AA7" s="23" t="s">
        <v>88</v>
      </c>
      <c r="AB7" s="20" t="s">
        <v>89</v>
      </c>
      <c r="AC7" s="20" t="s">
        <v>86</v>
      </c>
      <c r="AD7" s="76" t="s">
        <v>71</v>
      </c>
      <c r="AE7" s="77" t="s">
        <v>73</v>
      </c>
      <c r="AF7" s="26"/>
      <c r="AG7" s="26"/>
      <c r="AH7" s="26"/>
      <c r="AI7" s="28"/>
      <c r="AJ7" s="29"/>
      <c r="AK7" s="29"/>
    </row>
    <row r="8" spans="2:34" ht="21.75" customHeight="1">
      <c r="B8" s="78" t="s">
        <v>47</v>
      </c>
      <c r="C8" s="79">
        <f>SUM(D8:F8)</f>
        <v>18265</v>
      </c>
      <c r="D8" s="80">
        <v>6752</v>
      </c>
      <c r="E8" s="80">
        <v>6752</v>
      </c>
      <c r="F8" s="80">
        <v>4761</v>
      </c>
      <c r="G8" s="81">
        <f>SUM(D8:E8)</f>
        <v>13504</v>
      </c>
      <c r="H8" s="82"/>
      <c r="I8" s="82"/>
      <c r="J8" s="82"/>
      <c r="K8" s="82"/>
      <c r="L8" s="82"/>
      <c r="M8" s="82"/>
      <c r="N8" s="82">
        <f>960+960</f>
        <v>1920</v>
      </c>
      <c r="O8" s="82">
        <v>1920</v>
      </c>
      <c r="P8" s="82">
        <f>1200+510+1010+660+160+300+64</f>
        <v>3904</v>
      </c>
      <c r="Q8" s="82">
        <f>300+300+300+300+300+300+300+300+600+300+300+300+300+300+300+300+300+300+460+460+300+300+300+160</f>
        <v>7680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0">
        <f>SUM(H8:Z8)</f>
        <v>15424</v>
      </c>
      <c r="AE8" s="80">
        <f>C8-AD8+960+960-370-970-320-600-900-896.5-474.5-230</f>
        <v>0</v>
      </c>
      <c r="AF8" s="30"/>
      <c r="AG8" s="31"/>
      <c r="AH8" s="29"/>
    </row>
    <row r="9" spans="2:34" ht="21.75" customHeight="1">
      <c r="B9" s="83" t="s">
        <v>48</v>
      </c>
      <c r="C9" s="84">
        <f>SUM(D9:F9)</f>
        <v>38633</v>
      </c>
      <c r="D9" s="85">
        <v>13801</v>
      </c>
      <c r="E9" s="85">
        <v>13801</v>
      </c>
      <c r="F9" s="85">
        <v>11031</v>
      </c>
      <c r="G9" s="51">
        <f>SUM(D9:E9)</f>
        <v>27602</v>
      </c>
      <c r="H9" s="86"/>
      <c r="I9" s="86"/>
      <c r="J9" s="86"/>
      <c r="K9" s="86"/>
      <c r="L9" s="86"/>
      <c r="M9" s="86"/>
      <c r="N9" s="86"/>
      <c r="O9" s="86"/>
      <c r="P9" s="86">
        <f>1600+480+300+300+600+1988+313+1220+896+325+1460+2083+2825+233+80+240+320+4005+2240+325+956+3368+333+1304+316+5+3125+513+980+451+1119+640+170</f>
        <v>35113</v>
      </c>
      <c r="Q9" s="86"/>
      <c r="R9" s="86"/>
      <c r="S9" s="86"/>
      <c r="T9" s="86"/>
      <c r="U9" s="87"/>
      <c r="V9" s="87"/>
      <c r="W9" s="87">
        <f>320+450+1200+970+320+600+900+896.5+474.5+230</f>
        <v>6361</v>
      </c>
      <c r="X9" s="87"/>
      <c r="Y9" s="87"/>
      <c r="Z9" s="87"/>
      <c r="AA9" s="87"/>
      <c r="AB9" s="87"/>
      <c r="AC9" s="87"/>
      <c r="AD9" s="88">
        <f>SUM(H9:Z9)</f>
        <v>41474</v>
      </c>
      <c r="AE9" s="89">
        <f>C9-AD9-960-960+370+970+320+600+900+896.5+474.5+230</f>
        <v>0</v>
      </c>
      <c r="AF9" s="30"/>
      <c r="AG9" s="31"/>
      <c r="AH9" s="29"/>
    </row>
    <row r="10" spans="2:34" ht="21.75" customHeight="1">
      <c r="B10" s="90" t="s">
        <v>2</v>
      </c>
      <c r="C10" s="91">
        <f aca="true" t="shared" si="0" ref="C10:AE10">SUM(C8:C9)</f>
        <v>56898</v>
      </c>
      <c r="D10" s="91">
        <f t="shared" si="0"/>
        <v>20553</v>
      </c>
      <c r="E10" s="91">
        <f t="shared" si="0"/>
        <v>20553</v>
      </c>
      <c r="F10" s="91">
        <f t="shared" si="0"/>
        <v>15792</v>
      </c>
      <c r="G10" s="92">
        <f t="shared" si="0"/>
        <v>41106</v>
      </c>
      <c r="H10" s="92">
        <f t="shared" si="0"/>
        <v>0</v>
      </c>
      <c r="I10" s="92">
        <f t="shared" si="0"/>
        <v>0</v>
      </c>
      <c r="J10" s="92">
        <f t="shared" si="0"/>
        <v>0</v>
      </c>
      <c r="K10" s="92">
        <f t="shared" si="0"/>
        <v>0</v>
      </c>
      <c r="L10" s="92">
        <f t="shared" si="0"/>
        <v>0</v>
      </c>
      <c r="M10" s="92">
        <f t="shared" si="0"/>
        <v>0</v>
      </c>
      <c r="N10" s="92">
        <f t="shared" si="0"/>
        <v>1920</v>
      </c>
      <c r="O10" s="92">
        <f t="shared" si="0"/>
        <v>1920</v>
      </c>
      <c r="P10" s="92">
        <f t="shared" si="0"/>
        <v>39017</v>
      </c>
      <c r="Q10" s="92">
        <f t="shared" si="0"/>
        <v>7680</v>
      </c>
      <c r="R10" s="92">
        <f aca="true" t="shared" si="1" ref="R10:Z10">SUM(R8:R9)</f>
        <v>0</v>
      </c>
      <c r="S10" s="92"/>
      <c r="T10" s="92">
        <f t="shared" si="1"/>
        <v>0</v>
      </c>
      <c r="U10" s="92">
        <f t="shared" si="1"/>
        <v>0</v>
      </c>
      <c r="V10" s="92">
        <f t="shared" si="1"/>
        <v>0</v>
      </c>
      <c r="W10" s="92">
        <f t="shared" si="1"/>
        <v>6361</v>
      </c>
      <c r="X10" s="92">
        <f>SUM(X8:X9)</f>
        <v>0</v>
      </c>
      <c r="Y10" s="92"/>
      <c r="Z10" s="92">
        <f t="shared" si="1"/>
        <v>0</v>
      </c>
      <c r="AA10" s="92"/>
      <c r="AB10" s="92"/>
      <c r="AC10" s="92"/>
      <c r="AD10" s="92">
        <f t="shared" si="0"/>
        <v>56898</v>
      </c>
      <c r="AE10" s="92">
        <f t="shared" si="0"/>
        <v>0</v>
      </c>
      <c r="AF10" s="22"/>
      <c r="AG10" s="22"/>
      <c r="AH10" s="29"/>
    </row>
    <row r="11" spans="2:34" ht="21.75" customHeight="1">
      <c r="B11" s="78" t="s">
        <v>4</v>
      </c>
      <c r="C11" s="93">
        <f>SUM(D11:F11)</f>
        <v>47895</v>
      </c>
      <c r="D11" s="80">
        <v>15911</v>
      </c>
      <c r="E11" s="80">
        <v>15911</v>
      </c>
      <c r="F11" s="80">
        <v>16073</v>
      </c>
      <c r="G11" s="51">
        <f>SUM(D11:E11)</f>
        <v>31822</v>
      </c>
      <c r="H11" s="82"/>
      <c r="I11" s="82"/>
      <c r="J11" s="82"/>
      <c r="K11" s="82"/>
      <c r="L11" s="82"/>
      <c r="M11" s="82"/>
      <c r="N11" s="82">
        <f>1920+1440+960+960+960+1920+1920</f>
        <v>10080</v>
      </c>
      <c r="O11" s="82"/>
      <c r="P11" s="94">
        <f>2600+4627.5+1030+790</f>
        <v>9047.5</v>
      </c>
      <c r="Q11" s="82"/>
      <c r="R11" s="82"/>
      <c r="S11" s="82"/>
      <c r="T11" s="82"/>
      <c r="U11" s="95">
        <f>1920+1920+1920+960+960+1920+960+1920+2633+3840+3840+1920</f>
        <v>24713</v>
      </c>
      <c r="V11" s="95"/>
      <c r="W11" s="95">
        <v>960</v>
      </c>
      <c r="X11" s="95"/>
      <c r="Y11" s="95"/>
      <c r="Z11" s="95"/>
      <c r="AA11" s="95"/>
      <c r="AB11" s="95"/>
      <c r="AC11" s="95"/>
      <c r="AD11" s="96">
        <f>SUM(H11:Z11)</f>
        <v>44800.5</v>
      </c>
      <c r="AE11" s="96">
        <f>C11-AD11</f>
        <v>3094.5</v>
      </c>
      <c r="AF11" s="32"/>
      <c r="AG11" s="31"/>
      <c r="AH11" s="29"/>
    </row>
    <row r="12" spans="2:34" ht="21.75" customHeight="1">
      <c r="B12" s="83" t="s">
        <v>5</v>
      </c>
      <c r="C12" s="84">
        <f>SUM(D12:F12)</f>
        <v>9432</v>
      </c>
      <c r="D12" s="85">
        <v>4303</v>
      </c>
      <c r="E12" s="85">
        <v>4303</v>
      </c>
      <c r="F12" s="85">
        <v>826</v>
      </c>
      <c r="G12" s="51">
        <f>SUM(D12:E12)</f>
        <v>8606</v>
      </c>
      <c r="H12" s="86"/>
      <c r="I12" s="86"/>
      <c r="J12" s="86"/>
      <c r="K12" s="86"/>
      <c r="L12" s="86"/>
      <c r="M12" s="86"/>
      <c r="N12" s="86">
        <v>960</v>
      </c>
      <c r="O12" s="86">
        <v>960</v>
      </c>
      <c r="P12" s="86">
        <f>1600+1600+1860+900+726</f>
        <v>6686</v>
      </c>
      <c r="Q12" s="86"/>
      <c r="R12" s="86"/>
      <c r="S12" s="86"/>
      <c r="T12" s="86"/>
      <c r="U12" s="86">
        <v>826</v>
      </c>
      <c r="V12" s="86"/>
      <c r="W12" s="86"/>
      <c r="X12" s="86"/>
      <c r="Y12" s="86"/>
      <c r="Z12" s="86"/>
      <c r="AA12" s="86"/>
      <c r="AB12" s="86"/>
      <c r="AC12" s="86"/>
      <c r="AD12" s="97">
        <f>SUM(H12:Z12)</f>
        <v>9432</v>
      </c>
      <c r="AE12" s="89">
        <f>C12-AD12</f>
        <v>0</v>
      </c>
      <c r="AF12" s="30"/>
      <c r="AG12" s="31"/>
      <c r="AH12" s="29"/>
    </row>
    <row r="13" spans="2:34" ht="21.75" customHeight="1">
      <c r="B13" s="90" t="s">
        <v>2</v>
      </c>
      <c r="C13" s="91">
        <f aca="true" t="shared" si="2" ref="C13:AE13">SUM(C11:C12)</f>
        <v>57327</v>
      </c>
      <c r="D13" s="91">
        <f t="shared" si="2"/>
        <v>20214</v>
      </c>
      <c r="E13" s="91">
        <f t="shared" si="2"/>
        <v>20214</v>
      </c>
      <c r="F13" s="91">
        <f t="shared" si="2"/>
        <v>16899</v>
      </c>
      <c r="G13" s="92">
        <f t="shared" si="2"/>
        <v>40428</v>
      </c>
      <c r="H13" s="92">
        <f t="shared" si="2"/>
        <v>0</v>
      </c>
      <c r="I13" s="92">
        <f t="shared" si="2"/>
        <v>0</v>
      </c>
      <c r="J13" s="92">
        <f t="shared" si="2"/>
        <v>0</v>
      </c>
      <c r="K13" s="92">
        <f t="shared" si="2"/>
        <v>0</v>
      </c>
      <c r="L13" s="92">
        <f t="shared" si="2"/>
        <v>0</v>
      </c>
      <c r="M13" s="92">
        <f t="shared" si="2"/>
        <v>0</v>
      </c>
      <c r="N13" s="92">
        <f t="shared" si="2"/>
        <v>11040</v>
      </c>
      <c r="O13" s="92">
        <f t="shared" si="2"/>
        <v>960</v>
      </c>
      <c r="P13" s="98">
        <f t="shared" si="2"/>
        <v>15733.5</v>
      </c>
      <c r="Q13" s="92">
        <f aca="true" t="shared" si="3" ref="Q13:Z13">SUM(Q11:Q12)</f>
        <v>0</v>
      </c>
      <c r="R13" s="92">
        <f t="shared" si="3"/>
        <v>0</v>
      </c>
      <c r="S13" s="92"/>
      <c r="T13" s="92">
        <f t="shared" si="3"/>
        <v>0</v>
      </c>
      <c r="U13" s="92">
        <f t="shared" si="3"/>
        <v>25539</v>
      </c>
      <c r="V13" s="92">
        <f t="shared" si="3"/>
        <v>0</v>
      </c>
      <c r="W13" s="92">
        <f t="shared" si="3"/>
        <v>960</v>
      </c>
      <c r="X13" s="92">
        <f>SUM(X11:X12)</f>
        <v>0</v>
      </c>
      <c r="Y13" s="92"/>
      <c r="Z13" s="92">
        <f t="shared" si="3"/>
        <v>0</v>
      </c>
      <c r="AA13" s="92"/>
      <c r="AB13" s="92"/>
      <c r="AC13" s="92"/>
      <c r="AD13" s="98">
        <f t="shared" si="2"/>
        <v>54232.5</v>
      </c>
      <c r="AE13" s="98">
        <f t="shared" si="2"/>
        <v>3094.5</v>
      </c>
      <c r="AF13" s="30"/>
      <c r="AG13" s="22"/>
      <c r="AH13" s="29"/>
    </row>
    <row r="14" spans="2:35" ht="21.75" customHeight="1">
      <c r="B14" s="99" t="s">
        <v>6</v>
      </c>
      <c r="C14" s="79">
        <f aca="true" t="shared" si="4" ref="C14:C20">SUM(D14:F14)</f>
        <v>14220</v>
      </c>
      <c r="D14" s="100">
        <v>6375</v>
      </c>
      <c r="E14" s="100">
        <v>6375</v>
      </c>
      <c r="F14" s="100">
        <v>1470</v>
      </c>
      <c r="G14" s="51">
        <f aca="true" t="shared" si="5" ref="G14:G20">SUM(D14:E14)</f>
        <v>12750</v>
      </c>
      <c r="H14" s="82"/>
      <c r="I14" s="82"/>
      <c r="J14" s="82"/>
      <c r="K14" s="82"/>
      <c r="L14" s="82"/>
      <c r="M14" s="82"/>
      <c r="N14" s="82"/>
      <c r="O14" s="82"/>
      <c r="P14" s="82">
        <f>500+150+710+480+620+800+640+640+160+320+1440+780+1760+160+160+320+640+320+150</f>
        <v>10750</v>
      </c>
      <c r="Q14" s="81"/>
      <c r="R14" s="81"/>
      <c r="S14" s="81"/>
      <c r="T14" s="81"/>
      <c r="U14" s="81"/>
      <c r="V14" s="81"/>
      <c r="W14" s="81">
        <f>360+635+320+630+325</f>
        <v>2270</v>
      </c>
      <c r="X14" s="81">
        <f>150+150+300+300+300</f>
        <v>1200</v>
      </c>
      <c r="Y14" s="87"/>
      <c r="Z14" s="81">
        <v>0</v>
      </c>
      <c r="AA14" s="87"/>
      <c r="AB14" s="87"/>
      <c r="AC14" s="87"/>
      <c r="AD14" s="101">
        <f aca="true" t="shared" si="6" ref="AD14:AD20">SUM(H14:Z14)</f>
        <v>14220</v>
      </c>
      <c r="AE14" s="80">
        <f aca="true" t="shared" si="7" ref="AE14:AE20">C14-AD14</f>
        <v>0</v>
      </c>
      <c r="AF14" s="31"/>
      <c r="AG14" s="31"/>
      <c r="AH14" s="31"/>
      <c r="AI14" s="21"/>
    </row>
    <row r="15" spans="2:34" ht="21.75" customHeight="1">
      <c r="B15" s="102" t="s">
        <v>7</v>
      </c>
      <c r="C15" s="103">
        <f t="shared" si="4"/>
        <v>12789</v>
      </c>
      <c r="D15" s="104">
        <v>6167</v>
      </c>
      <c r="E15" s="104">
        <v>6167</v>
      </c>
      <c r="F15" s="104">
        <v>455</v>
      </c>
      <c r="G15" s="51">
        <f t="shared" si="5"/>
        <v>12334</v>
      </c>
      <c r="H15" s="51"/>
      <c r="I15" s="51"/>
      <c r="J15" s="51"/>
      <c r="K15" s="51"/>
      <c r="L15" s="51"/>
      <c r="M15" s="51"/>
      <c r="N15" s="51">
        <f>320+160+1920+1760</f>
        <v>4160</v>
      </c>
      <c r="O15" s="51">
        <f>800+960+960</f>
        <v>2720</v>
      </c>
      <c r="P15" s="51">
        <f>160+320+960+480+455</f>
        <v>2375</v>
      </c>
      <c r="Q15" s="51"/>
      <c r="R15" s="51"/>
      <c r="S15" s="51"/>
      <c r="T15" s="51"/>
      <c r="U15" s="51">
        <f>960+160+300+150+1750+140</f>
        <v>3460</v>
      </c>
      <c r="V15" s="51"/>
      <c r="W15" s="51"/>
      <c r="X15" s="51"/>
      <c r="Y15" s="51"/>
      <c r="Z15" s="51"/>
      <c r="AA15" s="51"/>
      <c r="AB15" s="51"/>
      <c r="AC15" s="51"/>
      <c r="AD15" s="105">
        <f t="shared" si="6"/>
        <v>12715</v>
      </c>
      <c r="AE15" s="105">
        <f t="shared" si="7"/>
        <v>74</v>
      </c>
      <c r="AF15" s="31"/>
      <c r="AG15" s="31"/>
      <c r="AH15" s="31"/>
    </row>
    <row r="16" spans="2:34" ht="21.75" customHeight="1">
      <c r="B16" s="102" t="s">
        <v>8</v>
      </c>
      <c r="C16" s="103">
        <f t="shared" si="4"/>
        <v>41962</v>
      </c>
      <c r="D16" s="104">
        <v>15187</v>
      </c>
      <c r="E16" s="104">
        <v>15187</v>
      </c>
      <c r="F16" s="104">
        <v>11588</v>
      </c>
      <c r="G16" s="51">
        <f t="shared" si="5"/>
        <v>30374</v>
      </c>
      <c r="H16" s="51"/>
      <c r="I16" s="51"/>
      <c r="J16" s="51"/>
      <c r="K16" s="51"/>
      <c r="L16" s="51"/>
      <c r="M16" s="51"/>
      <c r="N16" s="51">
        <f>960+960+960+960</f>
        <v>3840</v>
      </c>
      <c r="O16" s="51">
        <v>960</v>
      </c>
      <c r="P16" s="51">
        <f>160+480+600+960+480+480+640+480+1760+960+150+480+640+1200+160+640+960+640+320+320+320+480+640+640+320+480+1120+480+640+1765+400+165+640+200+490+320+430+320+10+80+320+320</f>
        <v>23090</v>
      </c>
      <c r="Q16" s="51"/>
      <c r="R16" s="51"/>
      <c r="S16" s="51"/>
      <c r="T16" s="51"/>
      <c r="U16" s="51">
        <f>2000+145+880+150+1625+4614+1920+960+1178</f>
        <v>13472</v>
      </c>
      <c r="V16" s="51"/>
      <c r="W16" s="51"/>
      <c r="X16" s="51">
        <v>600</v>
      </c>
      <c r="Y16" s="51"/>
      <c r="Z16" s="51">
        <v>0</v>
      </c>
      <c r="AA16" s="51"/>
      <c r="AB16" s="51"/>
      <c r="AC16" s="51"/>
      <c r="AD16" s="105">
        <f t="shared" si="6"/>
        <v>41962</v>
      </c>
      <c r="AE16" s="105">
        <f t="shared" si="7"/>
        <v>0</v>
      </c>
      <c r="AF16" s="31"/>
      <c r="AG16" s="31"/>
      <c r="AH16" s="31"/>
    </row>
    <row r="17" spans="2:34" ht="21.75" customHeight="1">
      <c r="B17" s="102" t="s">
        <v>44</v>
      </c>
      <c r="C17" s="103">
        <f t="shared" si="4"/>
        <v>36140</v>
      </c>
      <c r="D17" s="104">
        <v>12722</v>
      </c>
      <c r="E17" s="104">
        <v>12722</v>
      </c>
      <c r="F17" s="104">
        <v>10696</v>
      </c>
      <c r="G17" s="51">
        <f t="shared" si="5"/>
        <v>25444</v>
      </c>
      <c r="H17" s="51"/>
      <c r="I17" s="51"/>
      <c r="J17" s="51"/>
      <c r="K17" s="51"/>
      <c r="L17" s="51">
        <v>2240</v>
      </c>
      <c r="M17" s="51"/>
      <c r="N17" s="51">
        <f>1200+800+1690+1200+200+300+1050+160+900+1350+500+450+920+100+1000+3840+4800+1920+824</f>
        <v>23204</v>
      </c>
      <c r="O17" s="51"/>
      <c r="P17" s="51">
        <f>150+1760+2720+800+780+2880+640+300+320+320+25</f>
        <v>10695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105">
        <f t="shared" si="6"/>
        <v>36139</v>
      </c>
      <c r="AE17" s="105">
        <f t="shared" si="7"/>
        <v>1</v>
      </c>
      <c r="AF17" s="31"/>
      <c r="AG17" s="31"/>
      <c r="AH17" s="31"/>
    </row>
    <row r="18" spans="2:34" ht="21.75" customHeight="1">
      <c r="B18" s="102" t="s">
        <v>10</v>
      </c>
      <c r="C18" s="103">
        <f t="shared" si="4"/>
        <v>9555</v>
      </c>
      <c r="D18" s="104">
        <v>4206</v>
      </c>
      <c r="E18" s="104">
        <v>4206</v>
      </c>
      <c r="F18" s="104">
        <v>1143</v>
      </c>
      <c r="G18" s="51">
        <f t="shared" si="5"/>
        <v>8412</v>
      </c>
      <c r="H18" s="51"/>
      <c r="I18" s="51">
        <v>3266</v>
      </c>
      <c r="J18" s="51"/>
      <c r="K18" s="51"/>
      <c r="L18" s="51"/>
      <c r="M18" s="51"/>
      <c r="N18" s="51">
        <f>960+960</f>
        <v>1920</v>
      </c>
      <c r="O18" s="51">
        <f>960+960</f>
        <v>1920</v>
      </c>
      <c r="P18" s="51">
        <f>600+600+106</f>
        <v>1306</v>
      </c>
      <c r="Q18" s="51"/>
      <c r="R18" s="51"/>
      <c r="S18" s="51"/>
      <c r="T18" s="51"/>
      <c r="U18" s="51">
        <v>1143</v>
      </c>
      <c r="V18" s="51"/>
      <c r="W18" s="51"/>
      <c r="X18" s="51"/>
      <c r="Y18" s="51"/>
      <c r="Z18" s="51"/>
      <c r="AA18" s="51"/>
      <c r="AB18" s="51"/>
      <c r="AC18" s="51"/>
      <c r="AD18" s="105">
        <f t="shared" si="6"/>
        <v>9555</v>
      </c>
      <c r="AE18" s="105">
        <f t="shared" si="7"/>
        <v>0</v>
      </c>
      <c r="AF18" s="31"/>
      <c r="AG18" s="31"/>
      <c r="AH18" s="31"/>
    </row>
    <row r="19" spans="2:34" ht="21.75" customHeight="1">
      <c r="B19" s="102" t="s">
        <v>9</v>
      </c>
      <c r="C19" s="103">
        <f t="shared" si="4"/>
        <v>38340</v>
      </c>
      <c r="D19" s="104">
        <v>15887</v>
      </c>
      <c r="E19" s="104">
        <v>15887</v>
      </c>
      <c r="F19" s="104">
        <v>6566</v>
      </c>
      <c r="G19" s="51">
        <f t="shared" si="5"/>
        <v>31774</v>
      </c>
      <c r="H19" s="51"/>
      <c r="I19" s="51"/>
      <c r="J19" s="51"/>
      <c r="K19" s="51"/>
      <c r="L19" s="51"/>
      <c r="M19" s="51"/>
      <c r="N19" s="51">
        <f>960+960+960+960+960</f>
        <v>4800</v>
      </c>
      <c r="O19" s="51">
        <f>960+960</f>
        <v>1920</v>
      </c>
      <c r="P19" s="51">
        <f>1390+635+5010+1710+2020+3560+1990+3200+691</f>
        <v>20206</v>
      </c>
      <c r="Q19" s="51"/>
      <c r="R19" s="51"/>
      <c r="S19" s="51"/>
      <c r="T19" s="51"/>
      <c r="U19" s="51">
        <f>2000+2800+2778+2880+806</f>
        <v>11264</v>
      </c>
      <c r="V19" s="51"/>
      <c r="W19" s="51"/>
      <c r="X19" s="51">
        <f>150</f>
        <v>150</v>
      </c>
      <c r="Y19" s="51"/>
      <c r="Z19" s="51">
        <v>0</v>
      </c>
      <c r="AA19" s="51"/>
      <c r="AB19" s="51"/>
      <c r="AC19" s="51"/>
      <c r="AD19" s="105">
        <f t="shared" si="6"/>
        <v>38340</v>
      </c>
      <c r="AE19" s="105">
        <f t="shared" si="7"/>
        <v>0</v>
      </c>
      <c r="AF19" s="31"/>
      <c r="AG19" s="31"/>
      <c r="AH19" s="31"/>
    </row>
    <row r="20" spans="2:34" ht="21.75" customHeight="1">
      <c r="B20" s="99" t="s">
        <v>11</v>
      </c>
      <c r="C20" s="106">
        <f t="shared" si="4"/>
        <v>24765</v>
      </c>
      <c r="D20" s="107">
        <v>9863</v>
      </c>
      <c r="E20" s="107">
        <v>9863</v>
      </c>
      <c r="F20" s="107">
        <v>5039</v>
      </c>
      <c r="G20" s="51">
        <f t="shared" si="5"/>
        <v>19726</v>
      </c>
      <c r="H20" s="86"/>
      <c r="I20" s="86"/>
      <c r="J20" s="86"/>
      <c r="K20" s="86"/>
      <c r="L20" s="86"/>
      <c r="M20" s="86"/>
      <c r="N20" s="86">
        <f>900+1210+960+800+1590</f>
        <v>5460</v>
      </c>
      <c r="O20" s="86">
        <f>300+960+600</f>
        <v>1860</v>
      </c>
      <c r="P20" s="86">
        <f>320+160+160+75+470+480+300+320+570+940+150+320+470+310+470+440+150+300+480+250+480</f>
        <v>7615</v>
      </c>
      <c r="Q20" s="108"/>
      <c r="R20" s="108"/>
      <c r="S20" s="108">
        <v>1230</v>
      </c>
      <c r="T20" s="108"/>
      <c r="U20" s="108">
        <f>960+770+1410+990+300+260+1340+1270+700</f>
        <v>8000</v>
      </c>
      <c r="V20" s="108"/>
      <c r="W20" s="108"/>
      <c r="X20" s="108">
        <v>600</v>
      </c>
      <c r="Y20" s="87"/>
      <c r="Z20" s="108">
        <v>0</v>
      </c>
      <c r="AA20" s="87"/>
      <c r="AB20" s="87"/>
      <c r="AC20" s="87"/>
      <c r="AD20" s="88">
        <f t="shared" si="6"/>
        <v>24765</v>
      </c>
      <c r="AE20" s="89">
        <f t="shared" si="7"/>
        <v>0</v>
      </c>
      <c r="AF20" s="31"/>
      <c r="AG20" s="31"/>
      <c r="AH20" s="31"/>
    </row>
    <row r="21" spans="2:34" ht="21.75" customHeight="1">
      <c r="B21" s="90" t="s">
        <v>2</v>
      </c>
      <c r="C21" s="92">
        <f aca="true" t="shared" si="8" ref="C21:AE21">SUM(C14:C20)</f>
        <v>177771</v>
      </c>
      <c r="D21" s="92">
        <f t="shared" si="8"/>
        <v>70407</v>
      </c>
      <c r="E21" s="92">
        <f t="shared" si="8"/>
        <v>70407</v>
      </c>
      <c r="F21" s="92">
        <f t="shared" si="8"/>
        <v>36957</v>
      </c>
      <c r="G21" s="92">
        <f t="shared" si="8"/>
        <v>140814</v>
      </c>
      <c r="H21" s="92">
        <f t="shared" si="8"/>
        <v>0</v>
      </c>
      <c r="I21" s="92">
        <f t="shared" si="8"/>
        <v>3266</v>
      </c>
      <c r="J21" s="92">
        <f t="shared" si="8"/>
        <v>0</v>
      </c>
      <c r="K21" s="92">
        <f t="shared" si="8"/>
        <v>0</v>
      </c>
      <c r="L21" s="92">
        <f>SUM(L14:L20)</f>
        <v>2240</v>
      </c>
      <c r="M21" s="92">
        <f>SUM(M14:M20)</f>
        <v>0</v>
      </c>
      <c r="N21" s="92">
        <f t="shared" si="8"/>
        <v>43384</v>
      </c>
      <c r="O21" s="92">
        <f t="shared" si="8"/>
        <v>9380</v>
      </c>
      <c r="P21" s="92">
        <f t="shared" si="8"/>
        <v>76037</v>
      </c>
      <c r="Q21" s="92">
        <f t="shared" si="8"/>
        <v>0</v>
      </c>
      <c r="R21" s="92">
        <f t="shared" si="8"/>
        <v>0</v>
      </c>
      <c r="S21" s="92">
        <f t="shared" si="8"/>
        <v>1230</v>
      </c>
      <c r="T21" s="92">
        <f t="shared" si="8"/>
        <v>0</v>
      </c>
      <c r="U21" s="92">
        <f t="shared" si="8"/>
        <v>37339</v>
      </c>
      <c r="V21" s="92">
        <f t="shared" si="8"/>
        <v>0</v>
      </c>
      <c r="W21" s="92">
        <f t="shared" si="8"/>
        <v>2270</v>
      </c>
      <c r="X21" s="92">
        <f>SUM(X14:X20)</f>
        <v>2550</v>
      </c>
      <c r="Y21" s="92"/>
      <c r="Z21" s="92">
        <f t="shared" si="8"/>
        <v>0</v>
      </c>
      <c r="AA21" s="92"/>
      <c r="AB21" s="92"/>
      <c r="AC21" s="92"/>
      <c r="AD21" s="92">
        <f t="shared" si="8"/>
        <v>177696</v>
      </c>
      <c r="AE21" s="92">
        <f t="shared" si="8"/>
        <v>75</v>
      </c>
      <c r="AF21" s="22"/>
      <c r="AG21" s="22"/>
      <c r="AH21" s="33"/>
    </row>
    <row r="22" spans="2:34" ht="21.75" customHeight="1">
      <c r="B22" s="99" t="s">
        <v>14</v>
      </c>
      <c r="C22" s="93">
        <f>SUM(D22:F22)</f>
        <v>20011</v>
      </c>
      <c r="D22" s="107">
        <v>8059</v>
      </c>
      <c r="E22" s="107">
        <v>8059</v>
      </c>
      <c r="F22" s="107">
        <v>3893</v>
      </c>
      <c r="G22" s="51">
        <f>SUM(D22:E22)</f>
        <v>16118</v>
      </c>
      <c r="H22" s="82"/>
      <c r="I22" s="82"/>
      <c r="J22" s="82"/>
      <c r="K22" s="82"/>
      <c r="L22" s="82"/>
      <c r="M22" s="82"/>
      <c r="N22" s="82">
        <f>960+960+960</f>
        <v>2880</v>
      </c>
      <c r="O22" s="82">
        <v>960</v>
      </c>
      <c r="P22" s="82">
        <f>960+1110+810+3400+1310+1320+3190+330+450+150+160+320+150+150+150+150+88</f>
        <v>14198</v>
      </c>
      <c r="Q22" s="81"/>
      <c r="R22" s="81"/>
      <c r="S22" s="81"/>
      <c r="T22" s="81"/>
      <c r="U22" s="81">
        <v>1973</v>
      </c>
      <c r="V22" s="81"/>
      <c r="W22" s="81"/>
      <c r="X22" s="81"/>
      <c r="Y22" s="87"/>
      <c r="Z22" s="81"/>
      <c r="AA22" s="87"/>
      <c r="AB22" s="87"/>
      <c r="AC22" s="87"/>
      <c r="AD22" s="97">
        <f>SUM(H22:Z22)</f>
        <v>20011</v>
      </c>
      <c r="AE22" s="80">
        <f>C22-AD22</f>
        <v>0</v>
      </c>
      <c r="AF22" s="29"/>
      <c r="AG22" s="31"/>
      <c r="AH22" s="29"/>
    </row>
    <row r="23" spans="2:34" ht="21.75" customHeight="1">
      <c r="B23" s="102" t="s">
        <v>15</v>
      </c>
      <c r="C23" s="109">
        <f>SUM(D23:F23)</f>
        <v>10531</v>
      </c>
      <c r="D23" s="104">
        <v>5192</v>
      </c>
      <c r="E23" s="104">
        <v>5192</v>
      </c>
      <c r="F23" s="104">
        <v>147</v>
      </c>
      <c r="G23" s="51">
        <f>SUM(D23:E23)</f>
        <v>10384</v>
      </c>
      <c r="H23" s="51"/>
      <c r="I23" s="51"/>
      <c r="J23" s="51"/>
      <c r="K23" s="51"/>
      <c r="L23" s="51"/>
      <c r="M23" s="51"/>
      <c r="N23" s="51">
        <v>960</v>
      </c>
      <c r="O23" s="51">
        <v>960</v>
      </c>
      <c r="P23" s="110">
        <f>160+330+310+330+330+330+510+300+160+160+380+132.5+300+320+200+480+640+1073+480+460+330+444</f>
        <v>8159.5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111">
        <f>SUM(H23:Z23)</f>
        <v>10079.5</v>
      </c>
      <c r="AE23" s="105">
        <f>C23-AD23-90.5-122.5-88.5-150</f>
        <v>0</v>
      </c>
      <c r="AF23" s="29"/>
      <c r="AG23" s="31"/>
      <c r="AH23" s="29"/>
    </row>
    <row r="24" spans="2:34" ht="21.75" customHeight="1">
      <c r="B24" s="102" t="s">
        <v>16</v>
      </c>
      <c r="C24" s="109">
        <f>SUM(D24:F24)</f>
        <v>6542</v>
      </c>
      <c r="D24" s="104">
        <v>3563</v>
      </c>
      <c r="E24" s="104">
        <v>3563</v>
      </c>
      <c r="F24" s="104">
        <v>-584</v>
      </c>
      <c r="G24" s="51">
        <v>6542</v>
      </c>
      <c r="H24" s="51"/>
      <c r="I24" s="51"/>
      <c r="J24" s="51"/>
      <c r="K24" s="51"/>
      <c r="L24" s="51"/>
      <c r="M24" s="51"/>
      <c r="N24" s="51">
        <v>960</v>
      </c>
      <c r="O24" s="51">
        <v>960</v>
      </c>
      <c r="P24" s="110">
        <f>600+150+150+320+250+320+10+200+450+165+447.5+300+600+590+160+122.5+88.5+150</f>
        <v>5073.5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111">
        <f>SUM(H24:Z24)</f>
        <v>6993.5</v>
      </c>
      <c r="AE24" s="111">
        <f>C24-AD24+90.5+122.5+88.5+150</f>
        <v>0</v>
      </c>
      <c r="AF24" s="57"/>
      <c r="AG24" s="31"/>
      <c r="AH24" s="29"/>
    </row>
    <row r="25" spans="2:34" ht="21.75" customHeight="1">
      <c r="B25" s="99" t="s">
        <v>13</v>
      </c>
      <c r="C25" s="84">
        <f>SUM(D25:F25)</f>
        <v>27468</v>
      </c>
      <c r="D25" s="107">
        <v>14225</v>
      </c>
      <c r="E25" s="107">
        <v>14225</v>
      </c>
      <c r="F25" s="107">
        <v>-982</v>
      </c>
      <c r="G25" s="51">
        <v>27468</v>
      </c>
      <c r="H25" s="86"/>
      <c r="I25" s="86"/>
      <c r="J25" s="86"/>
      <c r="K25" s="86"/>
      <c r="L25" s="86"/>
      <c r="M25" s="86"/>
      <c r="N25" s="86">
        <f>960</f>
        <v>960</v>
      </c>
      <c r="O25" s="86"/>
      <c r="P25" s="86">
        <f>3320+1120+3270+2610+2180+2600+2650+2250+1870+1660+2500</f>
        <v>26030</v>
      </c>
      <c r="Q25" s="108"/>
      <c r="R25" s="108"/>
      <c r="S25" s="108"/>
      <c r="T25" s="108"/>
      <c r="U25" s="108"/>
      <c r="V25" s="108"/>
      <c r="W25" s="108"/>
      <c r="X25" s="108"/>
      <c r="Y25" s="87"/>
      <c r="Z25" s="108"/>
      <c r="AA25" s="87"/>
      <c r="AB25" s="87"/>
      <c r="AC25" s="87"/>
      <c r="AD25" s="97">
        <f>SUM(H25:Z25)</f>
        <v>26990</v>
      </c>
      <c r="AE25" s="105">
        <f>C25-AD25</f>
        <v>478</v>
      </c>
      <c r="AF25" s="29"/>
      <c r="AG25" s="31"/>
      <c r="AH25" s="29"/>
    </row>
    <row r="26" spans="2:34" ht="21.75" customHeight="1">
      <c r="B26" s="90" t="s">
        <v>2</v>
      </c>
      <c r="C26" s="92">
        <f aca="true" t="shared" si="9" ref="C26:K26">SUM(C22:C25)</f>
        <v>64552</v>
      </c>
      <c r="D26" s="92">
        <f t="shared" si="9"/>
        <v>31039</v>
      </c>
      <c r="E26" s="92">
        <f t="shared" si="9"/>
        <v>31039</v>
      </c>
      <c r="F26" s="92">
        <f t="shared" si="9"/>
        <v>2474</v>
      </c>
      <c r="G26" s="92">
        <f t="shared" si="9"/>
        <v>60512</v>
      </c>
      <c r="H26" s="92">
        <f t="shared" si="9"/>
        <v>0</v>
      </c>
      <c r="I26" s="92">
        <f t="shared" si="9"/>
        <v>0</v>
      </c>
      <c r="J26" s="92">
        <f t="shared" si="9"/>
        <v>0</v>
      </c>
      <c r="K26" s="92">
        <f t="shared" si="9"/>
        <v>0</v>
      </c>
      <c r="L26" s="92">
        <f aca="true" t="shared" si="10" ref="L26:Z26">SUM(L22:L25)</f>
        <v>0</v>
      </c>
      <c r="M26" s="92">
        <f t="shared" si="10"/>
        <v>0</v>
      </c>
      <c r="N26" s="92">
        <f t="shared" si="10"/>
        <v>5760</v>
      </c>
      <c r="O26" s="92">
        <f t="shared" si="10"/>
        <v>2880</v>
      </c>
      <c r="P26" s="98">
        <f t="shared" si="10"/>
        <v>53461</v>
      </c>
      <c r="Q26" s="92">
        <f t="shared" si="10"/>
        <v>0</v>
      </c>
      <c r="R26" s="92">
        <f t="shared" si="10"/>
        <v>0</v>
      </c>
      <c r="S26" s="92"/>
      <c r="T26" s="92">
        <f t="shared" si="10"/>
        <v>0</v>
      </c>
      <c r="U26" s="92">
        <f t="shared" si="10"/>
        <v>1973</v>
      </c>
      <c r="V26" s="92">
        <f t="shared" si="10"/>
        <v>0</v>
      </c>
      <c r="W26" s="92">
        <f t="shared" si="10"/>
        <v>0</v>
      </c>
      <c r="X26" s="92">
        <f>SUM(X22:X25)</f>
        <v>0</v>
      </c>
      <c r="Y26" s="92"/>
      <c r="Z26" s="92">
        <f t="shared" si="10"/>
        <v>0</v>
      </c>
      <c r="AA26" s="92"/>
      <c r="AB26" s="92"/>
      <c r="AC26" s="92"/>
      <c r="AD26" s="98">
        <f>SUM(AD22:AD25)</f>
        <v>64074</v>
      </c>
      <c r="AE26" s="92">
        <f>SUM(AE22:AE25)</f>
        <v>478</v>
      </c>
      <c r="AF26" s="50"/>
      <c r="AG26" s="22"/>
      <c r="AH26" s="29"/>
    </row>
    <row r="27" spans="2:34" ht="21.75" customHeight="1">
      <c r="B27" s="99" t="s">
        <v>32</v>
      </c>
      <c r="C27" s="93">
        <f>SUM(D27:F27)</f>
        <v>29430</v>
      </c>
      <c r="D27" s="81">
        <v>11753</v>
      </c>
      <c r="E27" s="81">
        <v>11753</v>
      </c>
      <c r="F27" s="81">
        <v>5924</v>
      </c>
      <c r="G27" s="51">
        <f>SUM(D27:E27)</f>
        <v>23506</v>
      </c>
      <c r="H27" s="82"/>
      <c r="I27" s="82"/>
      <c r="J27" s="82"/>
      <c r="K27" s="82"/>
      <c r="L27" s="82"/>
      <c r="M27" s="82"/>
      <c r="N27" s="82">
        <f>1000+5000+5000+960+1000+2250+960+1250+1150+1500+2250+1106+1500+1600+1250+1000+1000+1300+1250+1250+1500+2025+1250+1800+1600+460+330+960+960+960+960+960+960+3150+3600+2500+9500+5665</f>
        <v>72716</v>
      </c>
      <c r="O27" s="82">
        <v>2000</v>
      </c>
      <c r="P27" s="82">
        <f>760+3570+630+160+300+1190+300+300+160+320+625+460+800+160</f>
        <v>9735</v>
      </c>
      <c r="Q27" s="95"/>
      <c r="R27" s="95"/>
      <c r="S27" s="95"/>
      <c r="T27" s="95"/>
      <c r="U27" s="95">
        <f>100+500+320+300+500+500+500+500+500+250+660+500+320+600+1750+2100+600+1000+1500+1500+1500+1500+960+1250+2550+210+3044</f>
        <v>25514</v>
      </c>
      <c r="V27" s="95"/>
      <c r="W27" s="95"/>
      <c r="X27" s="95"/>
      <c r="Y27" s="87"/>
      <c r="Z27" s="95"/>
      <c r="AA27" s="87"/>
      <c r="AB27" s="87"/>
      <c r="AC27" s="87"/>
      <c r="AD27" s="97">
        <f>SUM(H27:Z27)</f>
        <v>109965</v>
      </c>
      <c r="AE27" s="105">
        <f>C27-AD27+760+960+960+100+2000+320+300+2100+1250+500+1500+500+1000+500+1300+1500+1250+1500+2685+1250+2300+320+600+1750+2100+2200+1000+1960+330+1500+1500+1500+960+1250+2550+960+960+210+960+960+960+3570-980+630+2370+3600+2800+10690+300+5965+160+320+625+460+800+160</f>
        <v>0</v>
      </c>
      <c r="AF27" s="50"/>
      <c r="AG27" s="31"/>
      <c r="AH27" s="29"/>
    </row>
    <row r="28" spans="2:34" ht="21.75" customHeight="1">
      <c r="B28" s="102" t="s">
        <v>31</v>
      </c>
      <c r="C28" s="109">
        <f>SUM(D28:F28)</f>
        <v>26260</v>
      </c>
      <c r="D28" s="51">
        <v>9447</v>
      </c>
      <c r="E28" s="51">
        <v>9447</v>
      </c>
      <c r="F28" s="51">
        <v>7366</v>
      </c>
      <c r="G28" s="51">
        <f>SUM(D28:E28)</f>
        <v>18894</v>
      </c>
      <c r="H28" s="51"/>
      <c r="I28" s="51"/>
      <c r="J28" s="51"/>
      <c r="K28" s="51"/>
      <c r="L28" s="51"/>
      <c r="M28" s="51"/>
      <c r="N28" s="51">
        <f>960+960+960+960+1460+460</f>
        <v>5760</v>
      </c>
      <c r="O28" s="51">
        <f>960+960</f>
        <v>1920</v>
      </c>
      <c r="P28" s="51"/>
      <c r="Q28" s="51"/>
      <c r="R28" s="51"/>
      <c r="S28" s="51"/>
      <c r="T28" s="51"/>
      <c r="U28" s="51">
        <f>1100+1000+300+550+1150+300+1350+500+800+1000+1000+820+684+960+1200+1920+1960+960+1026</f>
        <v>18580</v>
      </c>
      <c r="V28" s="51"/>
      <c r="W28" s="51"/>
      <c r="X28" s="51"/>
      <c r="Y28" s="51"/>
      <c r="Z28" s="51"/>
      <c r="AA28" s="51"/>
      <c r="AB28" s="51"/>
      <c r="AC28" s="51"/>
      <c r="AD28" s="105">
        <f>SUM(H28:Z28)</f>
        <v>26260</v>
      </c>
      <c r="AE28" s="105">
        <f>C28-AD28-960-960+480+980+460</f>
        <v>0</v>
      </c>
      <c r="AF28" s="50"/>
      <c r="AG28" s="31"/>
      <c r="AH28" s="29"/>
    </row>
    <row r="29" spans="2:34" ht="21.75" customHeight="1">
      <c r="B29" s="99" t="s">
        <v>49</v>
      </c>
      <c r="C29" s="84">
        <f>SUM(D29:F29)</f>
        <v>82655</v>
      </c>
      <c r="D29" s="51">
        <v>32071</v>
      </c>
      <c r="E29" s="51">
        <v>32071</v>
      </c>
      <c r="F29" s="108">
        <v>18513</v>
      </c>
      <c r="G29" s="51">
        <f>SUM(D29:E29)</f>
        <v>64142</v>
      </c>
      <c r="H29" s="86"/>
      <c r="I29" s="86"/>
      <c r="J29" s="86"/>
      <c r="K29" s="86"/>
      <c r="L29" s="86"/>
      <c r="M29" s="86"/>
      <c r="N29" s="86">
        <f>960</f>
        <v>960</v>
      </c>
      <c r="O29" s="86">
        <v>960</v>
      </c>
      <c r="P29" s="86">
        <v>200</v>
      </c>
      <c r="Q29" s="112"/>
      <c r="R29" s="112"/>
      <c r="S29" s="112"/>
      <c r="T29" s="112"/>
      <c r="U29" s="112"/>
      <c r="V29" s="112"/>
      <c r="W29" s="112"/>
      <c r="X29" s="112"/>
      <c r="Y29" s="87"/>
      <c r="Z29" s="112"/>
      <c r="AA29" s="87"/>
      <c r="AB29" s="87"/>
      <c r="AC29" s="87"/>
      <c r="AD29" s="97">
        <f>SUM(H29:Z29)</f>
        <v>2120</v>
      </c>
      <c r="AE29" s="105">
        <f>C29-AD29-760-960-960-100-2000-320-300-2100-1250-500-1500-500-1000-500-1300-1500-1250-1500-2685-1250-2300-320-600-1750-2100-2200-1000-1960-330-1500-1500-1500-960-1250-2550-960-960-210-960-480-3570-630-2370-3600-2800-10690-300-5965-160-320-625-460-800-160-460</f>
        <v>0</v>
      </c>
      <c r="AF29" s="29"/>
      <c r="AG29" s="31"/>
      <c r="AH29" s="29"/>
    </row>
    <row r="30" spans="2:34" ht="21.75" customHeight="1">
      <c r="B30" s="90" t="s">
        <v>2</v>
      </c>
      <c r="C30" s="113">
        <f aca="true" t="shared" si="11" ref="C30:J30">SUM(C27:C29)</f>
        <v>138345</v>
      </c>
      <c r="D30" s="113">
        <f t="shared" si="11"/>
        <v>53271</v>
      </c>
      <c r="E30" s="113">
        <f t="shared" si="11"/>
        <v>53271</v>
      </c>
      <c r="F30" s="113">
        <f t="shared" si="11"/>
        <v>31803</v>
      </c>
      <c r="G30" s="113">
        <f t="shared" si="11"/>
        <v>106542</v>
      </c>
      <c r="H30" s="113">
        <f t="shared" si="11"/>
        <v>0</v>
      </c>
      <c r="I30" s="113">
        <f t="shared" si="11"/>
        <v>0</v>
      </c>
      <c r="J30" s="113">
        <f t="shared" si="11"/>
        <v>0</v>
      </c>
      <c r="K30" s="113">
        <f aca="true" t="shared" si="12" ref="K30:P30">SUM(K27:K29)</f>
        <v>0</v>
      </c>
      <c r="L30" s="113">
        <f t="shared" si="12"/>
        <v>0</v>
      </c>
      <c r="M30" s="113">
        <f t="shared" si="12"/>
        <v>0</v>
      </c>
      <c r="N30" s="113">
        <f t="shared" si="12"/>
        <v>79436</v>
      </c>
      <c r="O30" s="113">
        <f t="shared" si="12"/>
        <v>4880</v>
      </c>
      <c r="P30" s="113">
        <f t="shared" si="12"/>
        <v>9935</v>
      </c>
      <c r="Q30" s="113">
        <f aca="true" t="shared" si="13" ref="Q30:AE30">SUM(Q27:Q29)</f>
        <v>0</v>
      </c>
      <c r="R30" s="113">
        <f t="shared" si="13"/>
        <v>0</v>
      </c>
      <c r="S30" s="113"/>
      <c r="T30" s="113">
        <f t="shared" si="13"/>
        <v>0</v>
      </c>
      <c r="U30" s="113">
        <f t="shared" si="13"/>
        <v>44094</v>
      </c>
      <c r="V30" s="113">
        <f t="shared" si="13"/>
        <v>0</v>
      </c>
      <c r="W30" s="113">
        <f t="shared" si="13"/>
        <v>0</v>
      </c>
      <c r="X30" s="113">
        <f>SUM(X27:X29)</f>
        <v>0</v>
      </c>
      <c r="Y30" s="113"/>
      <c r="Z30" s="113">
        <f t="shared" si="13"/>
        <v>0</v>
      </c>
      <c r="AA30" s="113"/>
      <c r="AB30" s="113"/>
      <c r="AC30" s="113"/>
      <c r="AD30" s="113">
        <f t="shared" si="13"/>
        <v>138345</v>
      </c>
      <c r="AE30" s="113">
        <f t="shared" si="13"/>
        <v>0</v>
      </c>
      <c r="AF30" s="50"/>
      <c r="AG30" s="22"/>
      <c r="AH30" s="29"/>
    </row>
    <row r="31" spans="2:34" ht="21.75" customHeight="1">
      <c r="B31" s="99" t="s">
        <v>30</v>
      </c>
      <c r="C31" s="93">
        <f>SUM(D31:F31)</f>
        <v>16397</v>
      </c>
      <c r="D31" s="107">
        <v>8024</v>
      </c>
      <c r="E31" s="107">
        <v>8024</v>
      </c>
      <c r="F31" s="107">
        <v>349</v>
      </c>
      <c r="G31" s="51">
        <f>SUM(D31:E31)</f>
        <v>16048</v>
      </c>
      <c r="H31" s="82"/>
      <c r="I31" s="82"/>
      <c r="J31" s="82"/>
      <c r="K31" s="82"/>
      <c r="L31" s="82"/>
      <c r="M31" s="82"/>
      <c r="N31" s="82">
        <v>960</v>
      </c>
      <c r="O31" s="82"/>
      <c r="P31" s="82">
        <f>1000+2730+1210+480+160+320+1920+1920+1920+1500+1540+737</f>
        <v>15437</v>
      </c>
      <c r="Q31" s="82"/>
      <c r="R31" s="82"/>
      <c r="S31" s="82"/>
      <c r="T31" s="82"/>
      <c r="U31" s="95"/>
      <c r="V31" s="95"/>
      <c r="W31" s="95"/>
      <c r="X31" s="95"/>
      <c r="Y31" s="87"/>
      <c r="Z31" s="95"/>
      <c r="AA31" s="87"/>
      <c r="AB31" s="87"/>
      <c r="AC31" s="87"/>
      <c r="AD31" s="97">
        <f>SUM(H31:Z31)</f>
        <v>16397</v>
      </c>
      <c r="AE31" s="105">
        <f>C31-AD31</f>
        <v>0</v>
      </c>
      <c r="AF31" s="29"/>
      <c r="AG31" s="31"/>
      <c r="AH31" s="29"/>
    </row>
    <row r="32" spans="2:34" ht="21.75" customHeight="1">
      <c r="B32" s="114" t="s">
        <v>29</v>
      </c>
      <c r="C32" s="84">
        <f>SUM(D32:F32)</f>
        <v>15966</v>
      </c>
      <c r="D32" s="115">
        <v>8145</v>
      </c>
      <c r="E32" s="115">
        <v>8145</v>
      </c>
      <c r="F32" s="115">
        <v>-324</v>
      </c>
      <c r="G32" s="51">
        <v>15966</v>
      </c>
      <c r="H32" s="86"/>
      <c r="I32" s="86"/>
      <c r="J32" s="86"/>
      <c r="K32" s="86"/>
      <c r="L32" s="86"/>
      <c r="M32" s="86"/>
      <c r="N32" s="86"/>
      <c r="O32" s="86"/>
      <c r="P32" s="86">
        <f>60+1500+1500+1500+160+800+1820+1060+320+270+750+320+160+240+400+1600+170+760</f>
        <v>13390</v>
      </c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9">
        <f>SUM(H32:Z32)</f>
        <v>13390</v>
      </c>
      <c r="AE32" s="105">
        <f>C32-AD32</f>
        <v>2576</v>
      </c>
      <c r="AF32" s="29"/>
      <c r="AG32" s="31"/>
      <c r="AH32" s="29"/>
    </row>
    <row r="33" spans="2:34" ht="21.75" customHeight="1">
      <c r="B33" s="90" t="s">
        <v>2</v>
      </c>
      <c r="C33" s="113">
        <f aca="true" t="shared" si="14" ref="C33:P33">SUM(C31:C32)</f>
        <v>32363</v>
      </c>
      <c r="D33" s="113">
        <f t="shared" si="14"/>
        <v>16169</v>
      </c>
      <c r="E33" s="113">
        <f t="shared" si="14"/>
        <v>16169</v>
      </c>
      <c r="F33" s="113">
        <f t="shared" si="14"/>
        <v>25</v>
      </c>
      <c r="G33" s="92">
        <f t="shared" si="14"/>
        <v>32014</v>
      </c>
      <c r="H33" s="92">
        <f t="shared" si="14"/>
        <v>0</v>
      </c>
      <c r="I33" s="92">
        <f t="shared" si="14"/>
        <v>0</v>
      </c>
      <c r="J33" s="92">
        <f t="shared" si="14"/>
        <v>0</v>
      </c>
      <c r="K33" s="92">
        <f t="shared" si="14"/>
        <v>0</v>
      </c>
      <c r="L33" s="92">
        <f t="shared" si="14"/>
        <v>0</v>
      </c>
      <c r="M33" s="92">
        <f t="shared" si="14"/>
        <v>0</v>
      </c>
      <c r="N33" s="92">
        <f t="shared" si="14"/>
        <v>960</v>
      </c>
      <c r="O33" s="92">
        <f t="shared" si="14"/>
        <v>0</v>
      </c>
      <c r="P33" s="92">
        <f t="shared" si="14"/>
        <v>28827</v>
      </c>
      <c r="Q33" s="92">
        <f aca="true" t="shared" si="15" ref="Q33:AE33">SUM(Q31:Q32)</f>
        <v>0</v>
      </c>
      <c r="R33" s="92">
        <f t="shared" si="15"/>
        <v>0</v>
      </c>
      <c r="S33" s="92">
        <f t="shared" si="15"/>
        <v>0</v>
      </c>
      <c r="T33" s="92">
        <f t="shared" si="15"/>
        <v>0</v>
      </c>
      <c r="U33" s="92">
        <f t="shared" si="15"/>
        <v>0</v>
      </c>
      <c r="V33" s="92">
        <f t="shared" si="15"/>
        <v>0</v>
      </c>
      <c r="W33" s="92">
        <f t="shared" si="15"/>
        <v>0</v>
      </c>
      <c r="X33" s="92">
        <f>SUM(X31:X32)</f>
        <v>0</v>
      </c>
      <c r="Y33" s="92"/>
      <c r="Z33" s="92">
        <f t="shared" si="15"/>
        <v>0</v>
      </c>
      <c r="AA33" s="92"/>
      <c r="AB33" s="92"/>
      <c r="AC33" s="92"/>
      <c r="AD33" s="92">
        <f t="shared" si="15"/>
        <v>29787</v>
      </c>
      <c r="AE33" s="92">
        <f t="shared" si="15"/>
        <v>2576</v>
      </c>
      <c r="AF33" s="50"/>
      <c r="AG33" s="31"/>
      <c r="AH33" s="29"/>
    </row>
    <row r="34" spans="2:34" ht="21.75" customHeight="1">
      <c r="B34" s="99" t="s">
        <v>21</v>
      </c>
      <c r="C34" s="93">
        <f>SUM(D34:F34)</f>
        <v>25118</v>
      </c>
      <c r="D34" s="116">
        <v>12528</v>
      </c>
      <c r="E34" s="116">
        <v>12528</v>
      </c>
      <c r="F34" s="116">
        <v>62</v>
      </c>
      <c r="G34" s="51">
        <f>SUM(D34:E34)</f>
        <v>25056</v>
      </c>
      <c r="H34" s="82"/>
      <c r="I34" s="82"/>
      <c r="J34" s="82"/>
      <c r="K34" s="82"/>
      <c r="L34" s="82"/>
      <c r="M34" s="82">
        <f>320+160+480+320+320</f>
        <v>1600</v>
      </c>
      <c r="N34" s="95"/>
      <c r="O34" s="95">
        <v>960</v>
      </c>
      <c r="P34" s="117">
        <f>150+350+150+620+195+300+460+1600+620+460+960+160+320+1685+800+330+1995+190+2270+350+1600+300+1120+1385+782.5+85+330+300+20+150</f>
        <v>20037.5</v>
      </c>
      <c r="Q34" s="95"/>
      <c r="R34" s="95"/>
      <c r="S34" s="95"/>
      <c r="T34" s="95"/>
      <c r="U34" s="87"/>
      <c r="V34" s="87"/>
      <c r="W34" s="87"/>
      <c r="X34" s="87"/>
      <c r="Y34" s="87">
        <v>810</v>
      </c>
      <c r="Z34" s="87"/>
      <c r="AA34" s="87"/>
      <c r="AB34" s="87"/>
      <c r="AC34" s="87"/>
      <c r="AD34" s="118">
        <f>SUM(H34:Z34)</f>
        <v>23407.5</v>
      </c>
      <c r="AE34" s="80">
        <f>C34-AD34-225-160-1600-480-0.5+810</f>
        <v>55</v>
      </c>
      <c r="AF34" s="29"/>
      <c r="AG34" s="31"/>
      <c r="AH34" s="29"/>
    </row>
    <row r="35" spans="2:34" ht="21.75" customHeight="1">
      <c r="B35" s="102" t="s">
        <v>20</v>
      </c>
      <c r="C35" s="109">
        <f>SUM(D35:F35)</f>
        <v>20511</v>
      </c>
      <c r="D35" s="104">
        <v>9581</v>
      </c>
      <c r="E35" s="104">
        <v>9581</v>
      </c>
      <c r="F35" s="104">
        <v>1349</v>
      </c>
      <c r="G35" s="51">
        <f>SUM(D35:E35)</f>
        <v>19162</v>
      </c>
      <c r="H35" s="51"/>
      <c r="I35" s="51"/>
      <c r="J35" s="51"/>
      <c r="K35" s="51"/>
      <c r="L35" s="51">
        <f>535+2420+1375+2775+1170+1510+400+3590+2965+700+700+350+1050+200+500</f>
        <v>20240</v>
      </c>
      <c r="M35" s="51"/>
      <c r="N35" s="51">
        <f>1550+140+800+150+900+1920+960+1066</f>
        <v>7486</v>
      </c>
      <c r="O35" s="51">
        <f>960+960+960+884</f>
        <v>3764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105">
        <f>SUM(H35:Z35)</f>
        <v>31490</v>
      </c>
      <c r="AE35" s="105">
        <f>C35-AD35+700+800+350+1050+200+650+900+960+1920+960+960+960+884+1066</f>
        <v>1381</v>
      </c>
      <c r="AF35" s="29"/>
      <c r="AG35" s="31"/>
      <c r="AH35" s="29"/>
    </row>
    <row r="36" spans="2:34" ht="21.75" customHeight="1">
      <c r="B36" s="102" t="s">
        <v>24</v>
      </c>
      <c r="C36" s="109">
        <f>SUM(D36:F36)</f>
        <v>47775</v>
      </c>
      <c r="D36" s="104">
        <v>20781</v>
      </c>
      <c r="E36" s="104">
        <v>20781</v>
      </c>
      <c r="F36" s="104">
        <v>6213</v>
      </c>
      <c r="G36" s="51">
        <f>SUM(D36:E36)</f>
        <v>41562</v>
      </c>
      <c r="H36" s="51"/>
      <c r="I36" s="51"/>
      <c r="J36" s="51">
        <v>1000</v>
      </c>
      <c r="K36" s="51">
        <f>450+450+300+150+300+750+300+150+150+300+900+150+150+900+150+150+150+150+150+150+150+150+85+150+150+300+150+300+450+150+150+150</f>
        <v>8635</v>
      </c>
      <c r="L36" s="51">
        <f>1395+490+1245+560+1660+1855+310+1895+1050+2940+2940+350+350+350+350+350+500+300</f>
        <v>18890</v>
      </c>
      <c r="M36" s="51"/>
      <c r="N36" s="51">
        <f>800+50+2170+150+150</f>
        <v>3320</v>
      </c>
      <c r="O36" s="51"/>
      <c r="P36" s="51"/>
      <c r="Q36" s="51"/>
      <c r="R36" s="51"/>
      <c r="S36" s="51"/>
      <c r="T36" s="51">
        <f>310+310+310+310+310+310+140</f>
        <v>2000</v>
      </c>
      <c r="U36" s="51"/>
      <c r="V36" s="51"/>
      <c r="W36" s="51"/>
      <c r="X36" s="51"/>
      <c r="Y36" s="51"/>
      <c r="Z36" s="51">
        <f>10</f>
        <v>10</v>
      </c>
      <c r="AA36" s="51">
        <f>150+100</f>
        <v>250</v>
      </c>
      <c r="AB36" s="51"/>
      <c r="AC36" s="51"/>
      <c r="AD36" s="105">
        <f>SUM(H36:Z36)</f>
        <v>33855</v>
      </c>
      <c r="AE36" s="105">
        <f>C36-AD36-700-800-350-1050-200-650-900-960-218-1600-150-320-1120-640-960</f>
        <v>3302</v>
      </c>
      <c r="AF36" s="34"/>
      <c r="AG36" s="22"/>
      <c r="AH36" s="34"/>
    </row>
    <row r="37" spans="2:34" ht="21.75" customHeight="1">
      <c r="B37" s="102" t="s">
        <v>23</v>
      </c>
      <c r="C37" s="109">
        <f>SUM(D37:F37)</f>
        <v>47520</v>
      </c>
      <c r="D37" s="104">
        <v>16004</v>
      </c>
      <c r="E37" s="104">
        <v>16004</v>
      </c>
      <c r="F37" s="104">
        <v>15512</v>
      </c>
      <c r="G37" s="51">
        <f>SUM(D37:E37)</f>
        <v>32008</v>
      </c>
      <c r="H37" s="51"/>
      <c r="I37" s="51"/>
      <c r="J37" s="51"/>
      <c r="K37" s="51">
        <f>150+150+150+300+150+150+600+300+150+65+150+150+150+300+150+150+150+150</f>
        <v>3515</v>
      </c>
      <c r="L37" s="51"/>
      <c r="M37" s="51"/>
      <c r="N37" s="51">
        <f>960+100</f>
        <v>1060</v>
      </c>
      <c r="O37" s="51">
        <v>200</v>
      </c>
      <c r="P37" s="110">
        <f>600+950+150+150+320+310+190+34+766+190+150+1100+1600+1600+85+1600+1600+1600+1600+320+1440+640+800+640+960+510+160+1600+2000+3200+160+610+940+920+7.5+1050+790+150+450+760+320+460+310-160</f>
        <v>33632.5</v>
      </c>
      <c r="Q37" s="51"/>
      <c r="R37" s="51"/>
      <c r="S37" s="51"/>
      <c r="T37" s="51"/>
      <c r="U37" s="51">
        <f>1000+1920+960+1120</f>
        <v>5000</v>
      </c>
      <c r="V37" s="51"/>
      <c r="W37" s="51">
        <f>150+570</f>
        <v>720</v>
      </c>
      <c r="X37" s="51"/>
      <c r="Y37" s="51"/>
      <c r="Z37" s="51">
        <v>140</v>
      </c>
      <c r="AA37" s="51"/>
      <c r="AB37" s="51"/>
      <c r="AC37" s="51">
        <v>125</v>
      </c>
      <c r="AD37" s="111">
        <f>SUM(H37:AC37)</f>
        <v>44392.5</v>
      </c>
      <c r="AE37" s="111">
        <f>C37-AD37-1920-960-960-960-884-1066-121+218+150+800+640+960+0.5-160+570+140+150+150+125</f>
        <v>0</v>
      </c>
      <c r="AF37" s="29"/>
      <c r="AG37" s="31"/>
      <c r="AH37" s="29"/>
    </row>
    <row r="38" spans="2:34" ht="21.75" customHeight="1">
      <c r="B38" s="99" t="s">
        <v>22</v>
      </c>
      <c r="C38" s="84">
        <f>SUM(D38:F38)</f>
        <v>42711</v>
      </c>
      <c r="D38" s="85">
        <v>16009</v>
      </c>
      <c r="E38" s="85">
        <v>16009</v>
      </c>
      <c r="F38" s="85">
        <v>10693</v>
      </c>
      <c r="G38" s="51">
        <f>SUM(D38:E38)</f>
        <v>32018</v>
      </c>
      <c r="H38" s="86"/>
      <c r="I38" s="86"/>
      <c r="J38" s="86"/>
      <c r="K38" s="119">
        <f>150+150+150+150+150+150+37.5+112.5</f>
        <v>1050</v>
      </c>
      <c r="L38" s="86"/>
      <c r="M38" s="86"/>
      <c r="N38" s="86">
        <v>960</v>
      </c>
      <c r="O38" s="86">
        <v>40</v>
      </c>
      <c r="P38" s="108">
        <f>160+2050+950+1760+170+990+750+255+150+1570+2400+470+150+2725+1600+300+160+245+330+350+130+1300+17.5+225+121+160+3200+1120+320+150+122.5+320+150+480+480+640+85+160+320+85</f>
        <v>27121</v>
      </c>
      <c r="Q38" s="108"/>
      <c r="R38" s="108"/>
      <c r="S38" s="108"/>
      <c r="T38" s="108"/>
      <c r="U38" s="108">
        <f>10000+2000</f>
        <v>12000</v>
      </c>
      <c r="V38" s="108"/>
      <c r="W38" s="108"/>
      <c r="X38" s="108"/>
      <c r="Y38" s="87">
        <f>1458+2732</f>
        <v>4190</v>
      </c>
      <c r="Z38" s="108"/>
      <c r="AA38" s="87"/>
      <c r="AB38" s="87">
        <f>150</f>
        <v>150</v>
      </c>
      <c r="AC38" s="87">
        <f>150</f>
        <v>150</v>
      </c>
      <c r="AD38" s="111">
        <f>SUM(H38:AC38)</f>
        <v>45661</v>
      </c>
      <c r="AE38" s="89">
        <f>C38-AD38+225+121+160+3200+1120+160-570-140-810-150-150-125</f>
        <v>91</v>
      </c>
      <c r="AF38" s="29"/>
      <c r="AG38" s="58"/>
      <c r="AH38" s="29"/>
    </row>
    <row r="39" spans="2:34" ht="21.75" customHeight="1">
      <c r="B39" s="90" t="s">
        <v>2</v>
      </c>
      <c r="C39" s="92">
        <f aca="true" t="shared" si="16" ref="C39:P39">SUM(C34:C38)</f>
        <v>183635</v>
      </c>
      <c r="D39" s="92">
        <f t="shared" si="16"/>
        <v>74903</v>
      </c>
      <c r="E39" s="92">
        <f t="shared" si="16"/>
        <v>74903</v>
      </c>
      <c r="F39" s="92">
        <f t="shared" si="16"/>
        <v>33829</v>
      </c>
      <c r="G39" s="92">
        <f t="shared" si="16"/>
        <v>149806</v>
      </c>
      <c r="H39" s="92">
        <f t="shared" si="16"/>
        <v>0</v>
      </c>
      <c r="I39" s="92">
        <f t="shared" si="16"/>
        <v>0</v>
      </c>
      <c r="J39" s="92">
        <f t="shared" si="16"/>
        <v>1000</v>
      </c>
      <c r="K39" s="98">
        <f t="shared" si="16"/>
        <v>13200</v>
      </c>
      <c r="L39" s="92">
        <f t="shared" si="16"/>
        <v>39130</v>
      </c>
      <c r="M39" s="92">
        <f t="shared" si="16"/>
        <v>1600</v>
      </c>
      <c r="N39" s="92">
        <f t="shared" si="16"/>
        <v>12826</v>
      </c>
      <c r="O39" s="92">
        <f t="shared" si="16"/>
        <v>4964</v>
      </c>
      <c r="P39" s="98">
        <f t="shared" si="16"/>
        <v>80791</v>
      </c>
      <c r="Q39" s="92">
        <f aca="true" t="shared" si="17" ref="Q39:AE39">SUM(Q34:Q38)</f>
        <v>0</v>
      </c>
      <c r="R39" s="92">
        <f t="shared" si="17"/>
        <v>0</v>
      </c>
      <c r="S39" s="92">
        <f t="shared" si="17"/>
        <v>0</v>
      </c>
      <c r="T39" s="92">
        <f t="shared" si="17"/>
        <v>2000</v>
      </c>
      <c r="U39" s="92">
        <f>SUM(U37:U38)</f>
        <v>17000</v>
      </c>
      <c r="V39" s="92">
        <f t="shared" si="17"/>
        <v>0</v>
      </c>
      <c r="W39" s="92">
        <f>SUM(W37:W38)</f>
        <v>720</v>
      </c>
      <c r="X39" s="92">
        <f>SUM(X34:X38)</f>
        <v>0</v>
      </c>
      <c r="Y39" s="92">
        <f>SUM(Y34:Y38)</f>
        <v>5000</v>
      </c>
      <c r="Z39" s="92">
        <f t="shared" si="17"/>
        <v>150</v>
      </c>
      <c r="AA39" s="92">
        <f t="shared" si="17"/>
        <v>250</v>
      </c>
      <c r="AB39" s="92">
        <f>SUM(AB34:AB38)</f>
        <v>150</v>
      </c>
      <c r="AC39" s="92">
        <f t="shared" si="17"/>
        <v>275</v>
      </c>
      <c r="AD39" s="98">
        <f t="shared" si="17"/>
        <v>178806</v>
      </c>
      <c r="AE39" s="98">
        <f t="shared" si="17"/>
        <v>4829</v>
      </c>
      <c r="AF39" s="50"/>
      <c r="AG39" s="31"/>
      <c r="AH39" s="29"/>
    </row>
    <row r="40" spans="2:34" ht="21.75" customHeight="1">
      <c r="B40" s="99" t="s">
        <v>17</v>
      </c>
      <c r="C40" s="93">
        <f>SUM(D40:F40)</f>
        <v>5801</v>
      </c>
      <c r="D40" s="97">
        <v>2243</v>
      </c>
      <c r="E40" s="97">
        <v>2243</v>
      </c>
      <c r="F40" s="97">
        <v>1315</v>
      </c>
      <c r="G40" s="51">
        <f>SUM(D40:E40)</f>
        <v>4486</v>
      </c>
      <c r="H40" s="82"/>
      <c r="I40" s="82"/>
      <c r="J40" s="82"/>
      <c r="K40" s="82"/>
      <c r="L40" s="82"/>
      <c r="M40" s="82"/>
      <c r="N40" s="82">
        <v>1920</v>
      </c>
      <c r="O40" s="82"/>
      <c r="P40" s="82">
        <f>2021+559</f>
        <v>2580</v>
      </c>
      <c r="Q40" s="82"/>
      <c r="R40" s="82">
        <f>272.5+272.5</f>
        <v>545</v>
      </c>
      <c r="S40" s="82"/>
      <c r="T40" s="82"/>
      <c r="U40" s="81"/>
      <c r="V40" s="81"/>
      <c r="W40" s="81"/>
      <c r="X40" s="81"/>
      <c r="Y40" s="87"/>
      <c r="Z40" s="81"/>
      <c r="AA40" s="87"/>
      <c r="AB40" s="87"/>
      <c r="AC40" s="87"/>
      <c r="AD40" s="97">
        <f>SUM(H40:Z40)</f>
        <v>5045</v>
      </c>
      <c r="AE40" s="105">
        <f>C40-AD40-420-336</f>
        <v>0</v>
      </c>
      <c r="AF40" s="29"/>
      <c r="AG40" s="31"/>
      <c r="AH40" s="29"/>
    </row>
    <row r="41" spans="2:34" ht="21.75" customHeight="1">
      <c r="B41" s="102" t="s">
        <v>18</v>
      </c>
      <c r="C41" s="109">
        <f>SUM(D41:F41)</f>
        <v>6254</v>
      </c>
      <c r="D41" s="105">
        <v>3099</v>
      </c>
      <c r="E41" s="105">
        <v>3099</v>
      </c>
      <c r="F41" s="105">
        <v>56</v>
      </c>
      <c r="G41" s="51">
        <f>SUM(D41:E41)</f>
        <v>6198</v>
      </c>
      <c r="H41" s="51">
        <f>1475+1525</f>
        <v>3000</v>
      </c>
      <c r="I41" s="51"/>
      <c r="J41" s="51"/>
      <c r="K41" s="51"/>
      <c r="L41" s="51"/>
      <c r="M41" s="51"/>
      <c r="N41" s="51">
        <v>3198</v>
      </c>
      <c r="O41" s="51"/>
      <c r="P41" s="51">
        <f>50+330+1080+750+1156+1174+1465+401</f>
        <v>6406</v>
      </c>
      <c r="Q41" s="51"/>
      <c r="R41" s="51"/>
      <c r="S41" s="51"/>
      <c r="T41" s="51"/>
      <c r="U41" s="51"/>
      <c r="V41" s="51"/>
      <c r="W41" s="51">
        <v>960</v>
      </c>
      <c r="X41" s="51"/>
      <c r="Y41" s="51"/>
      <c r="Z41" s="51"/>
      <c r="AA41" s="51"/>
      <c r="AB41" s="51"/>
      <c r="AC41" s="51"/>
      <c r="AD41" s="105">
        <f>SUM(H41:Z41)</f>
        <v>13564</v>
      </c>
      <c r="AE41" s="105">
        <f>C41-AD41+50+330+2040+750+1156+1174+1465+336+9</f>
        <v>0</v>
      </c>
      <c r="AF41" s="29"/>
      <c r="AG41" s="22"/>
      <c r="AH41" s="29"/>
    </row>
    <row r="42" spans="2:34" ht="21.75" customHeight="1">
      <c r="B42" s="102" t="s">
        <v>19</v>
      </c>
      <c r="C42" s="84">
        <f>SUM(D42:F42)</f>
        <v>6554</v>
      </c>
      <c r="D42" s="105">
        <v>3027</v>
      </c>
      <c r="E42" s="105">
        <v>3027</v>
      </c>
      <c r="F42" s="120">
        <v>500</v>
      </c>
      <c r="G42" s="51">
        <f>SUM(D42:E42)</f>
        <v>6054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08"/>
      <c r="V42" s="108"/>
      <c r="W42" s="108"/>
      <c r="X42" s="108"/>
      <c r="Y42" s="87"/>
      <c r="Z42" s="108"/>
      <c r="AA42" s="87"/>
      <c r="AB42" s="87"/>
      <c r="AC42" s="87"/>
      <c r="AD42" s="97">
        <f>SUM(H42:Z42)</f>
        <v>0</v>
      </c>
      <c r="AE42" s="105">
        <f>C42-AD42-50-330-2040-750-1156-1174-1045-9</f>
        <v>0</v>
      </c>
      <c r="AF42" s="29"/>
      <c r="AG42" s="31"/>
      <c r="AH42" s="29"/>
    </row>
    <row r="43" spans="2:34" ht="21.75" customHeight="1">
      <c r="B43" s="90" t="s">
        <v>2</v>
      </c>
      <c r="C43" s="92">
        <f aca="true" t="shared" si="18" ref="C43:O43">SUM(C40:C42)</f>
        <v>18609</v>
      </c>
      <c r="D43" s="92">
        <f t="shared" si="18"/>
        <v>8369</v>
      </c>
      <c r="E43" s="92">
        <f t="shared" si="18"/>
        <v>8369</v>
      </c>
      <c r="F43" s="92">
        <f t="shared" si="18"/>
        <v>1871</v>
      </c>
      <c r="G43" s="92">
        <f t="shared" si="18"/>
        <v>16738</v>
      </c>
      <c r="H43" s="92">
        <f t="shared" si="18"/>
        <v>3000</v>
      </c>
      <c r="I43" s="92">
        <f t="shared" si="18"/>
        <v>0</v>
      </c>
      <c r="J43" s="92">
        <f t="shared" si="18"/>
        <v>0</v>
      </c>
      <c r="K43" s="92">
        <f t="shared" si="18"/>
        <v>0</v>
      </c>
      <c r="L43" s="92">
        <f t="shared" si="18"/>
        <v>0</v>
      </c>
      <c r="M43" s="92">
        <f t="shared" si="18"/>
        <v>0</v>
      </c>
      <c r="N43" s="92">
        <f t="shared" si="18"/>
        <v>5118</v>
      </c>
      <c r="O43" s="92">
        <f t="shared" si="18"/>
        <v>0</v>
      </c>
      <c r="P43" s="92">
        <f aca="true" t="shared" si="19" ref="P43:AE43">SUM(P40:P42)</f>
        <v>8986</v>
      </c>
      <c r="Q43" s="92">
        <f t="shared" si="19"/>
        <v>0</v>
      </c>
      <c r="R43" s="92">
        <f t="shared" si="19"/>
        <v>545</v>
      </c>
      <c r="S43" s="92">
        <f t="shared" si="19"/>
        <v>0</v>
      </c>
      <c r="T43" s="92">
        <f t="shared" si="19"/>
        <v>0</v>
      </c>
      <c r="U43" s="92">
        <f t="shared" si="19"/>
        <v>0</v>
      </c>
      <c r="V43" s="92">
        <f t="shared" si="19"/>
        <v>0</v>
      </c>
      <c r="W43" s="92">
        <f t="shared" si="19"/>
        <v>960</v>
      </c>
      <c r="X43" s="92">
        <f>SUM(X40:X42)</f>
        <v>0</v>
      </c>
      <c r="Y43" s="92"/>
      <c r="Z43" s="92">
        <f>SUM(Z40:Z42)</f>
        <v>0</v>
      </c>
      <c r="AA43" s="92"/>
      <c r="AB43" s="92"/>
      <c r="AC43" s="92"/>
      <c r="AD43" s="113">
        <f t="shared" si="19"/>
        <v>18609</v>
      </c>
      <c r="AE43" s="113">
        <f t="shared" si="19"/>
        <v>0</v>
      </c>
      <c r="AF43" s="50"/>
      <c r="AG43" s="31"/>
      <c r="AH43" s="29"/>
    </row>
    <row r="44" spans="2:34" ht="21.75" customHeight="1">
      <c r="B44" s="99" t="s">
        <v>27</v>
      </c>
      <c r="C44" s="93">
        <f>SUM(D44:F44)</f>
        <v>11216</v>
      </c>
      <c r="D44" s="107">
        <v>4860</v>
      </c>
      <c r="E44" s="107">
        <v>4860</v>
      </c>
      <c r="F44" s="107">
        <v>1496</v>
      </c>
      <c r="G44" s="51">
        <f>SUM(D44:E44)</f>
        <v>9720</v>
      </c>
      <c r="H44" s="82"/>
      <c r="I44" s="82"/>
      <c r="J44" s="82"/>
      <c r="K44" s="82"/>
      <c r="L44" s="82"/>
      <c r="M44" s="82"/>
      <c r="N44" s="82"/>
      <c r="O44" s="82"/>
      <c r="P44" s="82">
        <v>220</v>
      </c>
      <c r="Q44" s="82"/>
      <c r="R44" s="82"/>
      <c r="S44" s="82"/>
      <c r="T44" s="82"/>
      <c r="U44" s="82"/>
      <c r="V44" s="82"/>
      <c r="W44" s="82"/>
      <c r="X44" s="82"/>
      <c r="Y44" s="87">
        <v>6000</v>
      </c>
      <c r="Z44" s="82"/>
      <c r="AA44" s="87"/>
      <c r="AB44" s="87">
        <v>0</v>
      </c>
      <c r="AC44" s="87">
        <v>0</v>
      </c>
      <c r="AD44" s="97">
        <f>SUM(H44:AC44)</f>
        <v>6220</v>
      </c>
      <c r="AE44" s="80">
        <f>C44-AD44-1920+220</f>
        <v>3296</v>
      </c>
      <c r="AF44" s="29"/>
      <c r="AG44" s="22"/>
      <c r="AH44" s="29"/>
    </row>
    <row r="45" spans="2:34" ht="21.75" customHeight="1">
      <c r="B45" s="102" t="s">
        <v>26</v>
      </c>
      <c r="C45" s="109">
        <f>SUM(D45:F45)</f>
        <v>4891</v>
      </c>
      <c r="D45" s="104">
        <v>1312</v>
      </c>
      <c r="E45" s="104">
        <v>1312</v>
      </c>
      <c r="F45" s="104">
        <v>2267</v>
      </c>
      <c r="G45" s="51">
        <f>SUM(D45:E45)</f>
        <v>2624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105">
        <f>SUM(H45:Z45)</f>
        <v>0</v>
      </c>
      <c r="AE45" s="105">
        <f>C45-AD45-1920-220</f>
        <v>2751</v>
      </c>
      <c r="AF45" s="29"/>
      <c r="AG45" s="31"/>
      <c r="AH45" s="29"/>
    </row>
    <row r="46" spans="2:34" ht="21.75" customHeight="1">
      <c r="B46" s="102" t="s">
        <v>25</v>
      </c>
      <c r="C46" s="109">
        <f>SUM(D46:F46)</f>
        <v>20617</v>
      </c>
      <c r="D46" s="104">
        <v>7320</v>
      </c>
      <c r="E46" s="104">
        <v>7320</v>
      </c>
      <c r="F46" s="104">
        <v>5977</v>
      </c>
      <c r="G46" s="51">
        <f>SUM(D46:E46)</f>
        <v>14640</v>
      </c>
      <c r="H46" s="51"/>
      <c r="I46" s="51"/>
      <c r="J46" s="51"/>
      <c r="K46" s="51"/>
      <c r="L46" s="51"/>
      <c r="M46" s="51"/>
      <c r="N46" s="51">
        <f>1920+1920+1920+1160+6000+6000+2400+1600+2100+3000</f>
        <v>28020</v>
      </c>
      <c r="O46" s="51">
        <v>3840</v>
      </c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105">
        <f>SUM(H46:Z46)</f>
        <v>31860</v>
      </c>
      <c r="AE46" s="105">
        <f>C46-AD46+1920+1920+1160+6000+2400+1600+2220</f>
        <v>5977</v>
      </c>
      <c r="AF46" s="29"/>
      <c r="AG46" s="31"/>
      <c r="AH46" s="29"/>
    </row>
    <row r="47" spans="2:34" ht="21.75" customHeight="1">
      <c r="B47" s="121" t="s">
        <v>28</v>
      </c>
      <c r="C47" s="84">
        <f>SUM(D47:F47)</f>
        <v>19523</v>
      </c>
      <c r="D47" s="107">
        <v>6863</v>
      </c>
      <c r="E47" s="107">
        <v>6863</v>
      </c>
      <c r="F47" s="107">
        <v>5797</v>
      </c>
      <c r="G47" s="51">
        <f>SUM(D47:E47)</f>
        <v>13726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7"/>
      <c r="Z47" s="86"/>
      <c r="AA47" s="87"/>
      <c r="AB47" s="87"/>
      <c r="AC47" s="87"/>
      <c r="AD47" s="97">
        <f>SUM(H47:Z47)</f>
        <v>0</v>
      </c>
      <c r="AE47" s="89">
        <f>C47-AD47-1160-6000-2400-1600-2220</f>
        <v>6143</v>
      </c>
      <c r="AF47" s="29"/>
      <c r="AG47" s="31"/>
      <c r="AH47" s="29"/>
    </row>
    <row r="48" spans="2:34" ht="21.75" customHeight="1">
      <c r="B48" s="90" t="s">
        <v>2</v>
      </c>
      <c r="C48" s="92">
        <f aca="true" t="shared" si="20" ref="C48:M48">SUM(C44:C47)</f>
        <v>56247</v>
      </c>
      <c r="D48" s="92">
        <f t="shared" si="20"/>
        <v>20355</v>
      </c>
      <c r="E48" s="92">
        <f t="shared" si="20"/>
        <v>20355</v>
      </c>
      <c r="F48" s="92">
        <f t="shared" si="20"/>
        <v>15537</v>
      </c>
      <c r="G48" s="92">
        <f t="shared" si="20"/>
        <v>40710</v>
      </c>
      <c r="H48" s="92">
        <f t="shared" si="20"/>
        <v>0</v>
      </c>
      <c r="I48" s="92">
        <f t="shared" si="20"/>
        <v>0</v>
      </c>
      <c r="J48" s="92">
        <f t="shared" si="20"/>
        <v>0</v>
      </c>
      <c r="K48" s="92">
        <f t="shared" si="20"/>
        <v>0</v>
      </c>
      <c r="L48" s="92">
        <f t="shared" si="20"/>
        <v>0</v>
      </c>
      <c r="M48" s="92">
        <f t="shared" si="20"/>
        <v>0</v>
      </c>
      <c r="N48" s="92">
        <f aca="true" t="shared" si="21" ref="N48:AC48">SUM(N44:N47)</f>
        <v>28020</v>
      </c>
      <c r="O48" s="92">
        <f t="shared" si="21"/>
        <v>3840</v>
      </c>
      <c r="P48" s="92">
        <f t="shared" si="21"/>
        <v>220</v>
      </c>
      <c r="Q48" s="92">
        <f t="shared" si="21"/>
        <v>0</v>
      </c>
      <c r="R48" s="92">
        <f t="shared" si="21"/>
        <v>0</v>
      </c>
      <c r="S48" s="92">
        <f t="shared" si="21"/>
        <v>0</v>
      </c>
      <c r="T48" s="92">
        <f t="shared" si="21"/>
        <v>0</v>
      </c>
      <c r="U48" s="92">
        <f t="shared" si="21"/>
        <v>0</v>
      </c>
      <c r="V48" s="92">
        <f t="shared" si="21"/>
        <v>0</v>
      </c>
      <c r="W48" s="92">
        <f t="shared" si="21"/>
        <v>0</v>
      </c>
      <c r="X48" s="92">
        <f>SUM(X44:X47)</f>
        <v>0</v>
      </c>
      <c r="Y48" s="92">
        <f>SUM(Y44:Y47)</f>
        <v>6000</v>
      </c>
      <c r="Z48" s="92">
        <f t="shared" si="21"/>
        <v>0</v>
      </c>
      <c r="AA48" s="92"/>
      <c r="AB48" s="92">
        <f>SUM(AB44:AB47)</f>
        <v>0</v>
      </c>
      <c r="AC48" s="92">
        <f t="shared" si="21"/>
        <v>0</v>
      </c>
      <c r="AD48" s="92">
        <f>SUM(AD44:AD47)</f>
        <v>38080</v>
      </c>
      <c r="AE48" s="92">
        <f>SUM(AE44:AE47)</f>
        <v>18167</v>
      </c>
      <c r="AF48" s="50"/>
      <c r="AG48" s="33"/>
      <c r="AH48" s="29"/>
    </row>
    <row r="49" spans="2:34" ht="21.75" customHeight="1">
      <c r="B49" s="102" t="s">
        <v>12</v>
      </c>
      <c r="C49" s="93">
        <f aca="true" t="shared" si="22" ref="C49:C60">SUM(D49:F49)</f>
        <v>12422</v>
      </c>
      <c r="D49" s="122">
        <v>6147</v>
      </c>
      <c r="E49" s="122">
        <v>6147</v>
      </c>
      <c r="F49" s="123">
        <v>128</v>
      </c>
      <c r="G49" s="51">
        <f aca="true" t="shared" si="23" ref="G49:G60">SUM(D49:E49)</f>
        <v>12294</v>
      </c>
      <c r="H49" s="82"/>
      <c r="I49" s="82"/>
      <c r="J49" s="82"/>
      <c r="K49" s="81"/>
      <c r="L49" s="81"/>
      <c r="M49" s="81"/>
      <c r="N49" s="81">
        <v>960</v>
      </c>
      <c r="O49" s="81"/>
      <c r="P49" s="81"/>
      <c r="Q49" s="87"/>
      <c r="R49" s="87"/>
      <c r="S49" s="87"/>
      <c r="T49" s="87"/>
      <c r="U49" s="87"/>
      <c r="V49" s="87">
        <f>800</f>
        <v>800</v>
      </c>
      <c r="W49" s="87">
        <f>800+800+800+800+800+800+1650+1844+800+800+640</f>
        <v>10534</v>
      </c>
      <c r="X49" s="87"/>
      <c r="Y49" s="87"/>
      <c r="Z49" s="87"/>
      <c r="AA49" s="87"/>
      <c r="AB49" s="87"/>
      <c r="AC49" s="87"/>
      <c r="AD49" s="97">
        <f aca="true" t="shared" si="24" ref="AD49:AD60">SUM(H49:Z49)</f>
        <v>12294</v>
      </c>
      <c r="AE49" s="105">
        <f aca="true" t="shared" si="25" ref="AE49:AE60">C49-AD49</f>
        <v>128</v>
      </c>
      <c r="AF49" s="29"/>
      <c r="AG49" s="31"/>
      <c r="AH49" s="29"/>
    </row>
    <row r="50" spans="2:34" ht="21.75" customHeight="1">
      <c r="B50" s="124" t="s">
        <v>3</v>
      </c>
      <c r="C50" s="109">
        <f t="shared" si="22"/>
        <v>14046</v>
      </c>
      <c r="D50" s="87">
        <v>4791</v>
      </c>
      <c r="E50" s="87">
        <v>4791</v>
      </c>
      <c r="F50" s="87">
        <v>4464</v>
      </c>
      <c r="G50" s="51">
        <f t="shared" si="23"/>
        <v>9582</v>
      </c>
      <c r="H50" s="51">
        <v>9582</v>
      </c>
      <c r="I50" s="51"/>
      <c r="J50" s="51"/>
      <c r="K50" s="51"/>
      <c r="L50" s="51"/>
      <c r="M50" s="51"/>
      <c r="N50" s="51"/>
      <c r="O50" s="51"/>
      <c r="P50" s="51">
        <f>320+320+470+450+470+300+1504+630</f>
        <v>4464</v>
      </c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105">
        <f t="shared" si="24"/>
        <v>14046</v>
      </c>
      <c r="AE50" s="105">
        <f t="shared" si="25"/>
        <v>0</v>
      </c>
      <c r="AF50" s="29"/>
      <c r="AG50" s="31"/>
      <c r="AH50" s="29"/>
    </row>
    <row r="51" spans="2:34" ht="21.75" customHeight="1">
      <c r="B51" s="102" t="s">
        <v>33</v>
      </c>
      <c r="C51" s="109">
        <f t="shared" si="22"/>
        <v>12185</v>
      </c>
      <c r="D51" s="122">
        <v>5513</v>
      </c>
      <c r="E51" s="122">
        <v>5513</v>
      </c>
      <c r="F51" s="122">
        <v>1159</v>
      </c>
      <c r="G51" s="51">
        <f t="shared" si="23"/>
        <v>11026</v>
      </c>
      <c r="H51" s="51"/>
      <c r="I51" s="51"/>
      <c r="J51" s="51"/>
      <c r="K51" s="51"/>
      <c r="L51" s="51"/>
      <c r="M51" s="51"/>
      <c r="N51" s="51">
        <f>960+960</f>
        <v>1920</v>
      </c>
      <c r="O51" s="51">
        <f>960+800+960</f>
        <v>2720</v>
      </c>
      <c r="P51" s="51"/>
      <c r="Q51" s="51"/>
      <c r="R51" s="51"/>
      <c r="S51" s="51"/>
      <c r="T51" s="51"/>
      <c r="U51" s="51">
        <f>1600+800+2400</f>
        <v>4800</v>
      </c>
      <c r="V51" s="51">
        <f>800+480+306</f>
        <v>1586</v>
      </c>
      <c r="W51" s="51">
        <v>1159</v>
      </c>
      <c r="X51" s="51"/>
      <c r="Y51" s="51"/>
      <c r="Z51" s="51"/>
      <c r="AA51" s="51"/>
      <c r="AB51" s="51"/>
      <c r="AC51" s="51"/>
      <c r="AD51" s="105">
        <f t="shared" si="24"/>
        <v>12185</v>
      </c>
      <c r="AE51" s="105">
        <f t="shared" si="25"/>
        <v>0</v>
      </c>
      <c r="AF51" s="29"/>
      <c r="AG51" s="31"/>
      <c r="AH51" s="29"/>
    </row>
    <row r="52" spans="2:34" ht="21.75" customHeight="1">
      <c r="B52" s="102" t="s">
        <v>34</v>
      </c>
      <c r="C52" s="109">
        <f t="shared" si="22"/>
        <v>15863</v>
      </c>
      <c r="D52" s="122">
        <v>6688</v>
      </c>
      <c r="E52" s="122">
        <v>6688</v>
      </c>
      <c r="F52" s="122">
        <v>2487</v>
      </c>
      <c r="G52" s="51">
        <f t="shared" si="23"/>
        <v>13376</v>
      </c>
      <c r="H52" s="51"/>
      <c r="I52" s="51"/>
      <c r="J52" s="51"/>
      <c r="K52" s="51"/>
      <c r="L52" s="51"/>
      <c r="M52" s="51"/>
      <c r="N52" s="51"/>
      <c r="O52" s="51">
        <v>800</v>
      </c>
      <c r="P52" s="51">
        <f>380+1180+460+480+480+1810+1480+1430+1550+870+160+300+150+710+870+266</f>
        <v>12576</v>
      </c>
      <c r="Q52" s="51"/>
      <c r="R52" s="51"/>
      <c r="S52" s="51"/>
      <c r="T52" s="51"/>
      <c r="U52" s="51"/>
      <c r="V52" s="51"/>
      <c r="W52" s="51">
        <f>320+2167</f>
        <v>2487</v>
      </c>
      <c r="X52" s="51"/>
      <c r="Y52" s="51"/>
      <c r="Z52" s="51"/>
      <c r="AA52" s="51"/>
      <c r="AB52" s="51"/>
      <c r="AC52" s="51"/>
      <c r="AD52" s="105">
        <f t="shared" si="24"/>
        <v>15863</v>
      </c>
      <c r="AE52" s="105">
        <f t="shared" si="25"/>
        <v>0</v>
      </c>
      <c r="AF52" s="29"/>
      <c r="AG52" s="31"/>
      <c r="AH52" s="29"/>
    </row>
    <row r="53" spans="2:34" ht="21.75" customHeight="1">
      <c r="B53" s="102" t="s">
        <v>35</v>
      </c>
      <c r="C53" s="109">
        <f t="shared" si="22"/>
        <v>13272</v>
      </c>
      <c r="D53" s="104">
        <v>5691</v>
      </c>
      <c r="E53" s="104">
        <v>5691</v>
      </c>
      <c r="F53" s="104">
        <v>1890</v>
      </c>
      <c r="G53" s="51">
        <f t="shared" si="23"/>
        <v>11382</v>
      </c>
      <c r="H53" s="51"/>
      <c r="I53" s="51"/>
      <c r="J53" s="51"/>
      <c r="K53" s="51"/>
      <c r="L53" s="51"/>
      <c r="M53" s="51"/>
      <c r="N53" s="51">
        <f>960+930</f>
        <v>1890</v>
      </c>
      <c r="O53" s="51">
        <f>800+960+2880+1920+3840+960+22</f>
        <v>11382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105">
        <f t="shared" si="24"/>
        <v>13272</v>
      </c>
      <c r="AE53" s="105">
        <f t="shared" si="25"/>
        <v>0</v>
      </c>
      <c r="AF53" s="29"/>
      <c r="AG53" s="31"/>
      <c r="AH53" s="29"/>
    </row>
    <row r="54" spans="2:34" ht="21.75" customHeight="1">
      <c r="B54" s="102" t="s">
        <v>36</v>
      </c>
      <c r="C54" s="109">
        <f t="shared" si="22"/>
        <v>14195</v>
      </c>
      <c r="D54" s="104">
        <v>5336</v>
      </c>
      <c r="E54" s="104">
        <v>5336</v>
      </c>
      <c r="F54" s="104">
        <v>3523</v>
      </c>
      <c r="G54" s="51">
        <f t="shared" si="23"/>
        <v>10672</v>
      </c>
      <c r="H54" s="51"/>
      <c r="I54" s="51"/>
      <c r="J54" s="51"/>
      <c r="K54" s="51"/>
      <c r="L54" s="51"/>
      <c r="M54" s="51"/>
      <c r="N54" s="51">
        <f>960+960</f>
        <v>1920</v>
      </c>
      <c r="O54" s="51">
        <f>960+800+960</f>
        <v>2720</v>
      </c>
      <c r="P54" s="51">
        <f>330+160+700+700+580+860+276+320+320+700+380+220+220+110+156+310</f>
        <v>6342</v>
      </c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105">
        <f t="shared" si="24"/>
        <v>10982</v>
      </c>
      <c r="AE54" s="105">
        <f t="shared" si="25"/>
        <v>3213</v>
      </c>
      <c r="AF54" s="29"/>
      <c r="AG54" s="31"/>
      <c r="AH54" s="29"/>
    </row>
    <row r="55" spans="2:34" ht="21.75" customHeight="1">
      <c r="B55" s="102" t="s">
        <v>37</v>
      </c>
      <c r="C55" s="109">
        <f t="shared" si="22"/>
        <v>8812</v>
      </c>
      <c r="D55" s="104">
        <v>3753</v>
      </c>
      <c r="E55" s="104">
        <v>3753</v>
      </c>
      <c r="F55" s="104">
        <v>1306</v>
      </c>
      <c r="G55" s="51">
        <f t="shared" si="23"/>
        <v>7506</v>
      </c>
      <c r="H55" s="51"/>
      <c r="I55" s="51"/>
      <c r="J55" s="51"/>
      <c r="K55" s="51"/>
      <c r="L55" s="51"/>
      <c r="M55" s="51"/>
      <c r="N55" s="51">
        <f>960+960</f>
        <v>1920</v>
      </c>
      <c r="O55" s="51">
        <f>960</f>
        <v>960</v>
      </c>
      <c r="P55" s="51">
        <f>320+480</f>
        <v>800</v>
      </c>
      <c r="Q55" s="51"/>
      <c r="R55" s="51"/>
      <c r="S55" s="51"/>
      <c r="T55" s="51"/>
      <c r="U55" s="51">
        <f>1920+2866+346</f>
        <v>5132</v>
      </c>
      <c r="V55" s="51"/>
      <c r="W55" s="51"/>
      <c r="X55" s="51"/>
      <c r="Y55" s="51"/>
      <c r="Z55" s="51"/>
      <c r="AA55" s="51"/>
      <c r="AB55" s="51"/>
      <c r="AC55" s="51"/>
      <c r="AD55" s="105">
        <f t="shared" si="24"/>
        <v>8812</v>
      </c>
      <c r="AE55" s="105">
        <f t="shared" si="25"/>
        <v>0</v>
      </c>
      <c r="AF55" s="29"/>
      <c r="AG55" s="31"/>
      <c r="AH55" s="29"/>
    </row>
    <row r="56" spans="2:34" ht="21.75" customHeight="1">
      <c r="B56" s="102" t="s">
        <v>46</v>
      </c>
      <c r="C56" s="109">
        <f t="shared" si="22"/>
        <v>28905</v>
      </c>
      <c r="D56" s="104">
        <v>10635</v>
      </c>
      <c r="E56" s="104">
        <v>10635</v>
      </c>
      <c r="F56" s="104">
        <v>7635</v>
      </c>
      <c r="G56" s="51">
        <f t="shared" si="23"/>
        <v>21270</v>
      </c>
      <c r="H56" s="51"/>
      <c r="I56" s="51"/>
      <c r="J56" s="51"/>
      <c r="K56" s="51"/>
      <c r="L56" s="51"/>
      <c r="M56" s="51"/>
      <c r="N56" s="51">
        <f>960+960+960+960</f>
        <v>3840</v>
      </c>
      <c r="O56" s="51">
        <v>960</v>
      </c>
      <c r="P56" s="51">
        <f>1063+330+165+260+3065+465+825+490+960+2250+2580+480+300+820+320+1280+1580+530+480+160+480+47+580</f>
        <v>19510</v>
      </c>
      <c r="Q56" s="51"/>
      <c r="R56" s="51"/>
      <c r="S56" s="51"/>
      <c r="T56" s="51"/>
      <c r="U56" s="51">
        <f>960+1920+1715</f>
        <v>4595</v>
      </c>
      <c r="V56" s="51"/>
      <c r="W56" s="51"/>
      <c r="X56" s="51"/>
      <c r="Y56" s="51"/>
      <c r="Z56" s="51"/>
      <c r="AA56" s="51"/>
      <c r="AB56" s="51"/>
      <c r="AC56" s="51"/>
      <c r="AD56" s="105">
        <f t="shared" si="24"/>
        <v>28905</v>
      </c>
      <c r="AE56" s="105">
        <f t="shared" si="25"/>
        <v>0</v>
      </c>
      <c r="AF56" s="29"/>
      <c r="AG56" s="31"/>
      <c r="AH56" s="29"/>
    </row>
    <row r="57" spans="2:34" ht="21.75" customHeight="1">
      <c r="B57" s="102" t="s">
        <v>38</v>
      </c>
      <c r="C57" s="109">
        <f t="shared" si="22"/>
        <v>27724</v>
      </c>
      <c r="D57" s="104">
        <v>11537</v>
      </c>
      <c r="E57" s="104">
        <v>11537</v>
      </c>
      <c r="F57" s="104">
        <v>4650</v>
      </c>
      <c r="G57" s="51">
        <f t="shared" si="23"/>
        <v>23074</v>
      </c>
      <c r="H57" s="51"/>
      <c r="I57" s="51"/>
      <c r="J57" s="51"/>
      <c r="K57" s="51"/>
      <c r="L57" s="51"/>
      <c r="M57" s="51"/>
      <c r="N57" s="51">
        <v>960</v>
      </c>
      <c r="O57" s="51"/>
      <c r="P57" s="51">
        <f>640+1600+640+1280+320+320+320+1600+150+750+330+750+750+750+300+300+450+470</f>
        <v>11720</v>
      </c>
      <c r="Q57" s="51"/>
      <c r="R57" s="51"/>
      <c r="S57" s="51"/>
      <c r="T57" s="51"/>
      <c r="U57" s="51"/>
      <c r="V57" s="51"/>
      <c r="W57" s="51">
        <f>640+490+450+180</f>
        <v>1760</v>
      </c>
      <c r="X57" s="51"/>
      <c r="Y57" s="51"/>
      <c r="Z57" s="51"/>
      <c r="AA57" s="51"/>
      <c r="AB57" s="51"/>
      <c r="AC57" s="51"/>
      <c r="AD57" s="105">
        <f t="shared" si="24"/>
        <v>14440</v>
      </c>
      <c r="AE57" s="105">
        <f t="shared" si="25"/>
        <v>13284</v>
      </c>
      <c r="AF57" s="50"/>
      <c r="AG57" s="31"/>
      <c r="AH57" s="29"/>
    </row>
    <row r="58" spans="2:34" ht="21.75" customHeight="1">
      <c r="B58" s="102" t="s">
        <v>39</v>
      </c>
      <c r="C58" s="109">
        <f t="shared" si="22"/>
        <v>8292</v>
      </c>
      <c r="D58" s="104">
        <v>3247</v>
      </c>
      <c r="E58" s="104">
        <v>3247</v>
      </c>
      <c r="F58" s="104">
        <v>1798</v>
      </c>
      <c r="G58" s="51">
        <f t="shared" si="23"/>
        <v>6494</v>
      </c>
      <c r="H58" s="51"/>
      <c r="I58" s="51"/>
      <c r="J58" s="51"/>
      <c r="K58" s="51"/>
      <c r="L58" s="51">
        <f>160+190+1400+2100-190-160</f>
        <v>3500</v>
      </c>
      <c r="M58" s="51"/>
      <c r="N58" s="51">
        <f>1920</f>
        <v>1920</v>
      </c>
      <c r="O58" s="51"/>
      <c r="P58" s="51">
        <v>114</v>
      </c>
      <c r="Q58" s="51"/>
      <c r="R58" s="51"/>
      <c r="S58" s="51"/>
      <c r="T58" s="51"/>
      <c r="U58" s="51"/>
      <c r="V58" s="51"/>
      <c r="W58" s="51">
        <f>160+130+190+160+320+510+350+938</f>
        <v>2758</v>
      </c>
      <c r="X58" s="51"/>
      <c r="Y58" s="51"/>
      <c r="Z58" s="51"/>
      <c r="AA58" s="51"/>
      <c r="AB58" s="51"/>
      <c r="AC58" s="51"/>
      <c r="AD58" s="105">
        <f t="shared" si="24"/>
        <v>8292</v>
      </c>
      <c r="AE58" s="105">
        <f t="shared" si="25"/>
        <v>0</v>
      </c>
      <c r="AF58" s="29"/>
      <c r="AG58" s="31"/>
      <c r="AH58" s="29"/>
    </row>
    <row r="59" spans="2:34" ht="21.75" customHeight="1">
      <c r="B59" s="102" t="s">
        <v>41</v>
      </c>
      <c r="C59" s="109">
        <f t="shared" si="22"/>
        <v>14627</v>
      </c>
      <c r="D59" s="104">
        <v>6136</v>
      </c>
      <c r="E59" s="104">
        <v>6136</v>
      </c>
      <c r="F59" s="104">
        <v>2355</v>
      </c>
      <c r="G59" s="51">
        <f t="shared" si="23"/>
        <v>12272</v>
      </c>
      <c r="H59" s="51"/>
      <c r="I59" s="51"/>
      <c r="J59" s="51"/>
      <c r="K59" s="51"/>
      <c r="L59" s="51"/>
      <c r="M59" s="51"/>
      <c r="N59" s="51">
        <f>300+300+300+60</f>
        <v>960</v>
      </c>
      <c r="O59" s="51"/>
      <c r="P59" s="51">
        <f>300+655+500+1050+590+300+590+2390+150+2860+630+37+300+2355</f>
        <v>12707</v>
      </c>
      <c r="Q59" s="51"/>
      <c r="R59" s="51"/>
      <c r="S59" s="51"/>
      <c r="T59" s="51"/>
      <c r="U59" s="51"/>
      <c r="V59" s="51"/>
      <c r="W59" s="51">
        <f>300+490+160+10</f>
        <v>960</v>
      </c>
      <c r="X59" s="51"/>
      <c r="Y59" s="51"/>
      <c r="Z59" s="51"/>
      <c r="AA59" s="51"/>
      <c r="AB59" s="51"/>
      <c r="AC59" s="51"/>
      <c r="AD59" s="105">
        <f t="shared" si="24"/>
        <v>14627</v>
      </c>
      <c r="AE59" s="105">
        <f t="shared" si="25"/>
        <v>0</v>
      </c>
      <c r="AF59" s="29"/>
      <c r="AG59" s="31"/>
      <c r="AH59" s="29"/>
    </row>
    <row r="60" spans="2:34" ht="21.75" customHeight="1">
      <c r="B60" s="99" t="s">
        <v>42</v>
      </c>
      <c r="C60" s="84">
        <f t="shared" si="22"/>
        <v>16860</v>
      </c>
      <c r="D60" s="107">
        <v>6881</v>
      </c>
      <c r="E60" s="107">
        <v>6881</v>
      </c>
      <c r="F60" s="107">
        <v>3098</v>
      </c>
      <c r="G60" s="51">
        <f t="shared" si="23"/>
        <v>13762</v>
      </c>
      <c r="H60" s="86"/>
      <c r="I60" s="86"/>
      <c r="J60" s="86"/>
      <c r="K60" s="108"/>
      <c r="L60" s="108"/>
      <c r="M60" s="108"/>
      <c r="N60" s="108">
        <v>960</v>
      </c>
      <c r="O60" s="108"/>
      <c r="P60" s="108">
        <f>150+500+1600+1005+1225+3235+582+340+960+670+540+330+155+160+390</f>
        <v>11842</v>
      </c>
      <c r="Q60" s="87"/>
      <c r="R60" s="87"/>
      <c r="S60" s="87"/>
      <c r="T60" s="87"/>
      <c r="U60" s="87"/>
      <c r="V60" s="87"/>
      <c r="W60" s="87">
        <f>640+320+2440+100+80+478</f>
        <v>4058</v>
      </c>
      <c r="X60" s="87"/>
      <c r="Y60" s="87"/>
      <c r="Z60" s="87"/>
      <c r="AA60" s="87"/>
      <c r="AB60" s="87"/>
      <c r="AC60" s="87"/>
      <c r="AD60" s="97">
        <f t="shared" si="24"/>
        <v>16860</v>
      </c>
      <c r="AE60" s="105">
        <f t="shared" si="25"/>
        <v>0</v>
      </c>
      <c r="AF60" s="29"/>
      <c r="AG60" s="31"/>
      <c r="AH60" s="29"/>
    </row>
    <row r="61" spans="2:34" ht="21.75" customHeight="1">
      <c r="B61" s="90" t="s">
        <v>2</v>
      </c>
      <c r="C61" s="92">
        <f aca="true" t="shared" si="26" ref="C61:AE61">SUM(C49:C60)</f>
        <v>187203</v>
      </c>
      <c r="D61" s="92">
        <f t="shared" si="26"/>
        <v>76355</v>
      </c>
      <c r="E61" s="92">
        <f t="shared" si="26"/>
        <v>76355</v>
      </c>
      <c r="F61" s="92">
        <f t="shared" si="26"/>
        <v>34493</v>
      </c>
      <c r="G61" s="92">
        <f t="shared" si="26"/>
        <v>152710</v>
      </c>
      <c r="H61" s="92">
        <f t="shared" si="26"/>
        <v>9582</v>
      </c>
      <c r="I61" s="92">
        <f t="shared" si="26"/>
        <v>0</v>
      </c>
      <c r="J61" s="92">
        <f t="shared" si="26"/>
        <v>0</v>
      </c>
      <c r="K61" s="92">
        <f t="shared" si="26"/>
        <v>0</v>
      </c>
      <c r="L61" s="92">
        <f aca="true" t="shared" si="27" ref="L61:T61">SUM(L49:L60)</f>
        <v>3500</v>
      </c>
      <c r="M61" s="92">
        <f t="shared" si="27"/>
        <v>0</v>
      </c>
      <c r="N61" s="92">
        <f t="shared" si="27"/>
        <v>17250</v>
      </c>
      <c r="O61" s="92">
        <f t="shared" si="27"/>
        <v>19542</v>
      </c>
      <c r="P61" s="92">
        <f t="shared" si="27"/>
        <v>80075</v>
      </c>
      <c r="Q61" s="92">
        <f t="shared" si="27"/>
        <v>0</v>
      </c>
      <c r="R61" s="92">
        <f t="shared" si="27"/>
        <v>0</v>
      </c>
      <c r="S61" s="92">
        <f>SUM(S59:S60)</f>
        <v>0</v>
      </c>
      <c r="T61" s="92">
        <f t="shared" si="27"/>
        <v>0</v>
      </c>
      <c r="U61" s="92">
        <f t="shared" si="26"/>
        <v>14527</v>
      </c>
      <c r="V61" s="92">
        <f t="shared" si="26"/>
        <v>2386</v>
      </c>
      <c r="W61" s="92">
        <f t="shared" si="26"/>
        <v>23716</v>
      </c>
      <c r="X61" s="92">
        <f>SUM(X49:X60)</f>
        <v>0</v>
      </c>
      <c r="Y61" s="92">
        <f>SUM(Y49:Y60)</f>
        <v>0</v>
      </c>
      <c r="Z61" s="92">
        <f>SUM(Z49:Z60)</f>
        <v>0</v>
      </c>
      <c r="AA61" s="92"/>
      <c r="AB61" s="92">
        <f>SUM(AB49:AB60)</f>
        <v>0</v>
      </c>
      <c r="AC61" s="92">
        <f>SUM(AC49:AC60)</f>
        <v>0</v>
      </c>
      <c r="AD61" s="92">
        <f t="shared" si="26"/>
        <v>170578</v>
      </c>
      <c r="AE61" s="92">
        <f t="shared" si="26"/>
        <v>16625</v>
      </c>
      <c r="AF61" s="50"/>
      <c r="AG61" s="22"/>
      <c r="AH61" s="29"/>
    </row>
    <row r="62" spans="2:34" ht="21.75" customHeight="1">
      <c r="B62" s="102" t="s">
        <v>40</v>
      </c>
      <c r="C62" s="93">
        <f>SUM(D62:F62)</f>
        <v>10406</v>
      </c>
      <c r="D62" s="104">
        <v>6454</v>
      </c>
      <c r="E62" s="104">
        <v>6454</v>
      </c>
      <c r="F62" s="116">
        <v>-2502</v>
      </c>
      <c r="G62" s="81">
        <v>10406</v>
      </c>
      <c r="H62" s="81"/>
      <c r="I62" s="81"/>
      <c r="J62" s="81"/>
      <c r="K62" s="81"/>
      <c r="L62" s="81"/>
      <c r="M62" s="81"/>
      <c r="N62" s="81">
        <v>1920</v>
      </c>
      <c r="O62" s="81"/>
      <c r="P62" s="81"/>
      <c r="Q62" s="81"/>
      <c r="R62" s="81"/>
      <c r="S62" s="81"/>
      <c r="T62" s="81"/>
      <c r="U62" s="81">
        <f>2880+4800+806</f>
        <v>8486</v>
      </c>
      <c r="V62" s="81"/>
      <c r="W62" s="81"/>
      <c r="X62" s="81"/>
      <c r="Y62" s="81"/>
      <c r="Z62" s="81"/>
      <c r="AA62" s="81"/>
      <c r="AB62" s="81"/>
      <c r="AC62" s="81"/>
      <c r="AD62" s="80">
        <f>SUM(H62:Z62)</f>
        <v>10406</v>
      </c>
      <c r="AE62" s="105">
        <f>C62-AD62</f>
        <v>0</v>
      </c>
      <c r="AF62" s="29"/>
      <c r="AG62" s="31"/>
      <c r="AH62" s="29"/>
    </row>
    <row r="63" spans="2:34" ht="21.75" customHeight="1">
      <c r="B63" s="102" t="s">
        <v>45</v>
      </c>
      <c r="C63" s="84">
        <f>SUM(D63:F63)</f>
        <v>16644</v>
      </c>
      <c r="D63" s="104">
        <v>5737</v>
      </c>
      <c r="E63" s="104">
        <v>5737</v>
      </c>
      <c r="F63" s="85">
        <v>5170</v>
      </c>
      <c r="G63" s="51">
        <f>SUM(D63:E63)</f>
        <v>11474</v>
      </c>
      <c r="H63" s="86"/>
      <c r="I63" s="86"/>
      <c r="J63" s="86"/>
      <c r="K63" s="108"/>
      <c r="L63" s="108"/>
      <c r="M63" s="108"/>
      <c r="N63" s="108">
        <f>10+1910</f>
        <v>1920</v>
      </c>
      <c r="O63" s="108"/>
      <c r="P63" s="108">
        <f>170+255</f>
        <v>425</v>
      </c>
      <c r="Q63" s="108"/>
      <c r="R63" s="108"/>
      <c r="S63" s="108"/>
      <c r="T63" s="108"/>
      <c r="U63" s="108">
        <f>1920+3840+1920+1874</f>
        <v>9554</v>
      </c>
      <c r="V63" s="108"/>
      <c r="W63" s="108"/>
      <c r="X63" s="108"/>
      <c r="Y63" s="87"/>
      <c r="Z63" s="108"/>
      <c r="AA63" s="87"/>
      <c r="AB63" s="87"/>
      <c r="AC63" s="87"/>
      <c r="AD63" s="97">
        <f>SUM(H63:Z63)</f>
        <v>11899</v>
      </c>
      <c r="AE63" s="105">
        <f>C63-AD63</f>
        <v>4745</v>
      </c>
      <c r="AF63" s="29"/>
      <c r="AG63" s="31"/>
      <c r="AH63" s="29"/>
    </row>
    <row r="64" spans="2:34" ht="21.75" customHeight="1">
      <c r="B64" s="90" t="s">
        <v>2</v>
      </c>
      <c r="C64" s="92">
        <f aca="true" t="shared" si="28" ref="C64:AE64">SUM(C62:C63)</f>
        <v>27050</v>
      </c>
      <c r="D64" s="92">
        <f t="shared" si="28"/>
        <v>12191</v>
      </c>
      <c r="E64" s="92">
        <f t="shared" si="28"/>
        <v>12191</v>
      </c>
      <c r="F64" s="92">
        <f t="shared" si="28"/>
        <v>2668</v>
      </c>
      <c r="G64" s="92">
        <f t="shared" si="28"/>
        <v>21880</v>
      </c>
      <c r="H64" s="92">
        <f t="shared" si="28"/>
        <v>0</v>
      </c>
      <c r="I64" s="92">
        <f t="shared" si="28"/>
        <v>0</v>
      </c>
      <c r="J64" s="92">
        <f t="shared" si="28"/>
        <v>0</v>
      </c>
      <c r="K64" s="92">
        <f t="shared" si="28"/>
        <v>0</v>
      </c>
      <c r="L64" s="92">
        <f t="shared" si="28"/>
        <v>0</v>
      </c>
      <c r="M64" s="92">
        <f t="shared" si="28"/>
        <v>0</v>
      </c>
      <c r="N64" s="92">
        <f t="shared" si="28"/>
        <v>3840</v>
      </c>
      <c r="O64" s="92">
        <f t="shared" si="28"/>
        <v>0</v>
      </c>
      <c r="P64" s="92">
        <f t="shared" si="28"/>
        <v>425</v>
      </c>
      <c r="Q64" s="92">
        <f t="shared" si="28"/>
        <v>0</v>
      </c>
      <c r="R64" s="92">
        <f t="shared" si="28"/>
        <v>0</v>
      </c>
      <c r="S64" s="92">
        <f t="shared" si="28"/>
        <v>0</v>
      </c>
      <c r="T64" s="92">
        <f t="shared" si="28"/>
        <v>0</v>
      </c>
      <c r="U64" s="92">
        <f t="shared" si="28"/>
        <v>18040</v>
      </c>
      <c r="V64" s="92">
        <f t="shared" si="28"/>
        <v>0</v>
      </c>
      <c r="W64" s="92">
        <f t="shared" si="28"/>
        <v>0</v>
      </c>
      <c r="X64" s="92">
        <f>SUM(X62:X63)</f>
        <v>0</v>
      </c>
      <c r="Y64" s="92">
        <f>SUM(Y62:Y63)</f>
        <v>0</v>
      </c>
      <c r="Z64" s="92">
        <f t="shared" si="28"/>
        <v>0</v>
      </c>
      <c r="AA64" s="92"/>
      <c r="AB64" s="92">
        <f>SUM(AB62:AB63)</f>
        <v>0</v>
      </c>
      <c r="AC64" s="92">
        <f t="shared" si="28"/>
        <v>0</v>
      </c>
      <c r="AD64" s="92">
        <f t="shared" si="28"/>
        <v>22305</v>
      </c>
      <c r="AE64" s="92">
        <f t="shared" si="28"/>
        <v>4745</v>
      </c>
      <c r="AF64" s="50"/>
      <c r="AG64" s="56"/>
      <c r="AH64" s="29"/>
    </row>
    <row r="65" spans="2:34" ht="21.75" customHeight="1">
      <c r="B65" s="125" t="s">
        <v>0</v>
      </c>
      <c r="C65" s="92">
        <f aca="true" t="shared" si="29" ref="C65:AE65">SUM(C10+C13+C21+C26+C43+C39+C48+C33+C30+C61+C64)</f>
        <v>1000000</v>
      </c>
      <c r="D65" s="92">
        <f t="shared" si="29"/>
        <v>403826</v>
      </c>
      <c r="E65" s="92">
        <f t="shared" si="29"/>
        <v>403826</v>
      </c>
      <c r="F65" s="92">
        <f t="shared" si="29"/>
        <v>192348</v>
      </c>
      <c r="G65" s="92">
        <f t="shared" si="29"/>
        <v>803260</v>
      </c>
      <c r="H65" s="92">
        <f t="shared" si="29"/>
        <v>12582</v>
      </c>
      <c r="I65" s="92">
        <f t="shared" si="29"/>
        <v>3266</v>
      </c>
      <c r="J65" s="92">
        <f t="shared" si="29"/>
        <v>1000</v>
      </c>
      <c r="K65" s="92">
        <f t="shared" si="29"/>
        <v>13200</v>
      </c>
      <c r="L65" s="92">
        <f t="shared" si="29"/>
        <v>44870</v>
      </c>
      <c r="M65" s="92">
        <f t="shared" si="29"/>
        <v>1600</v>
      </c>
      <c r="N65" s="92">
        <f t="shared" si="29"/>
        <v>209554</v>
      </c>
      <c r="O65" s="92">
        <f t="shared" si="29"/>
        <v>48366</v>
      </c>
      <c r="P65" s="113">
        <f t="shared" si="29"/>
        <v>393507.5</v>
      </c>
      <c r="Q65" s="92">
        <f t="shared" si="29"/>
        <v>7680</v>
      </c>
      <c r="R65" s="92">
        <f t="shared" si="29"/>
        <v>545</v>
      </c>
      <c r="S65" s="92">
        <f t="shared" si="29"/>
        <v>1230</v>
      </c>
      <c r="T65" s="92">
        <f t="shared" si="29"/>
        <v>2000</v>
      </c>
      <c r="U65" s="113">
        <f t="shared" si="29"/>
        <v>158512</v>
      </c>
      <c r="V65" s="113">
        <f t="shared" si="29"/>
        <v>2386</v>
      </c>
      <c r="W65" s="113">
        <f t="shared" si="29"/>
        <v>34987</v>
      </c>
      <c r="X65" s="113">
        <f>SUM(X10+X13+X21+X26+X43+X39+X48+X33+X30+X61+X64)</f>
        <v>2550</v>
      </c>
      <c r="Y65" s="113">
        <f>SUM(Y10+Y13+Y21+Y26+Y43+Y39+Y48+Y33+Y30+Y61+Y64)</f>
        <v>11000</v>
      </c>
      <c r="Z65" s="113">
        <f t="shared" si="29"/>
        <v>150</v>
      </c>
      <c r="AA65" s="113">
        <f t="shared" si="29"/>
        <v>250</v>
      </c>
      <c r="AB65" s="113">
        <f>SUM(AB10+AB13+AB21+AB26+AB43+AB39+AB48+AB33+AB30+AB61+AB64)</f>
        <v>150</v>
      </c>
      <c r="AC65" s="113">
        <f t="shared" si="29"/>
        <v>275</v>
      </c>
      <c r="AD65" s="126">
        <f t="shared" si="29"/>
        <v>949410.5</v>
      </c>
      <c r="AE65" s="126">
        <f t="shared" si="29"/>
        <v>50589.5</v>
      </c>
      <c r="AF65" s="22"/>
      <c r="AG65" s="22"/>
      <c r="AH65" s="22"/>
    </row>
    <row r="66" spans="2:33" ht="21.75" customHeight="1">
      <c r="B66" s="10"/>
      <c r="C66" s="10"/>
      <c r="D66" s="3"/>
      <c r="E66" s="3"/>
      <c r="F66" s="3"/>
      <c r="G66" s="3"/>
      <c r="H66" s="3"/>
      <c r="I66" s="2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40"/>
      <c r="AE66" s="45"/>
      <c r="AF66" s="49"/>
      <c r="AG66" s="21"/>
    </row>
    <row r="67" spans="2:33" ht="21.75" customHeight="1">
      <c r="B67" s="4"/>
      <c r="C67" s="4"/>
      <c r="D67" s="2"/>
      <c r="E67" s="2"/>
      <c r="F67" s="2"/>
      <c r="G67" s="11"/>
      <c r="H67" s="39"/>
      <c r="I67" s="41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6"/>
      <c r="AE67" s="45"/>
      <c r="AF67" s="49"/>
      <c r="AG67" s="21"/>
    </row>
    <row r="68" spans="2:32" ht="21.75" customHeight="1">
      <c r="B68" s="9"/>
      <c r="C68" s="54"/>
      <c r="D68" s="2"/>
      <c r="E68" s="2"/>
      <c r="F68" s="2"/>
      <c r="G68" s="11"/>
      <c r="H68" s="1"/>
      <c r="I68" s="4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7"/>
      <c r="AE68" s="16" t="s">
        <v>87</v>
      </c>
      <c r="AF68" s="22"/>
    </row>
    <row r="69" spans="7:32" ht="21.75" customHeight="1">
      <c r="G69" s="21"/>
      <c r="I69" s="24"/>
      <c r="AD69" s="44"/>
      <c r="AE69" s="25"/>
      <c r="AF69" s="49"/>
    </row>
    <row r="70" spans="9:32" ht="21.75" customHeight="1">
      <c r="I70" s="48"/>
      <c r="M70" s="38"/>
      <c r="N70" s="38"/>
      <c r="O70" s="38"/>
      <c r="P70" s="38"/>
      <c r="Q70" s="38"/>
      <c r="R70" s="38"/>
      <c r="S70" s="38"/>
      <c r="T70" s="38" t="s">
        <v>57</v>
      </c>
      <c r="U70" s="38"/>
      <c r="V70" s="38"/>
      <c r="W70" s="38"/>
      <c r="X70" s="38"/>
      <c r="Y70" s="38"/>
      <c r="Z70" s="38"/>
      <c r="AA70" s="38"/>
      <c r="AB70" s="38"/>
      <c r="AC70" s="38"/>
      <c r="AD70" s="18"/>
      <c r="AF70" s="49"/>
    </row>
    <row r="71" spans="13:32" ht="21.75" customHeight="1">
      <c r="M71" s="38"/>
      <c r="N71" s="38"/>
      <c r="O71" s="38"/>
      <c r="P71" s="38"/>
      <c r="Q71" s="38"/>
      <c r="R71" s="38"/>
      <c r="S71" s="38"/>
      <c r="T71" s="38" t="s">
        <v>54</v>
      </c>
      <c r="U71" s="38"/>
      <c r="V71" s="38"/>
      <c r="W71" s="38"/>
      <c r="X71" s="38"/>
      <c r="Y71" s="38"/>
      <c r="Z71" s="38"/>
      <c r="AA71" s="38"/>
      <c r="AB71" s="38"/>
      <c r="AC71" s="38"/>
      <c r="AD71" s="18"/>
      <c r="AF71" s="49"/>
    </row>
    <row r="72" ht="21.75" customHeight="1">
      <c r="AF72" s="33"/>
    </row>
    <row r="73" ht="21.75" customHeight="1">
      <c r="AF73" s="49"/>
    </row>
    <row r="74" ht="21.75" customHeight="1">
      <c r="AF74" s="49"/>
    </row>
    <row r="75" ht="21.75" customHeight="1">
      <c r="AF75" s="49"/>
    </row>
    <row r="76" ht="21.75" customHeight="1">
      <c r="AF76" s="49"/>
    </row>
    <row r="77" ht="21.75" customHeight="1">
      <c r="AF77" s="49"/>
    </row>
    <row r="78" ht="21.75" customHeight="1">
      <c r="AF78" s="49"/>
    </row>
    <row r="79" ht="21.75" customHeight="1">
      <c r="AF79" s="49"/>
    </row>
    <row r="80" ht="21.75" customHeight="1">
      <c r="AF80" s="49"/>
    </row>
    <row r="81" ht="23.25">
      <c r="AF81" s="49"/>
    </row>
    <row r="82" ht="23.25">
      <c r="AF82" s="49"/>
    </row>
    <row r="83" ht="23.25">
      <c r="AF83" s="49"/>
    </row>
    <row r="84" ht="23.25">
      <c r="AF84" s="49"/>
    </row>
    <row r="85" ht="23.25">
      <c r="AF85" s="22"/>
    </row>
    <row r="86" ht="23.25">
      <c r="AF86" s="49"/>
    </row>
    <row r="87" ht="23.25">
      <c r="AF87" s="49"/>
    </row>
    <row r="88" ht="23.25">
      <c r="AF88" s="22"/>
    </row>
    <row r="89" ht="23.25">
      <c r="AF89" s="22"/>
    </row>
    <row r="90" ht="21.75">
      <c r="AF90" s="29"/>
    </row>
    <row r="91" ht="21.75">
      <c r="AF91" s="29"/>
    </row>
    <row r="92" ht="21.75">
      <c r="AF92" s="29"/>
    </row>
    <row r="93" ht="21.75">
      <c r="AF93" s="29"/>
    </row>
    <row r="94" ht="21.75">
      <c r="AF94" s="29"/>
    </row>
    <row r="95" ht="21.75">
      <c r="AF95" s="29"/>
    </row>
  </sheetData>
  <sheetProtection/>
  <mergeCells count="5">
    <mergeCell ref="B6:B7"/>
    <mergeCell ref="B2:H2"/>
    <mergeCell ref="G3:AD3"/>
    <mergeCell ref="G4:AD4"/>
    <mergeCell ref="H6:T6"/>
  </mergeCells>
  <printOptions/>
  <pageMargins left="0" right="0" top="0.4330708661417323" bottom="1.5748031496062993" header="0.4330708661417323" footer="1.535433070866142"/>
  <pageSetup horizontalDpi="600" verticalDpi="600" orientation="landscape" paperSize="9" scale="7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Cane And Sugar Office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tsmc1</cp:lastModifiedBy>
  <cp:lastPrinted>2011-04-08T09:03:06Z</cp:lastPrinted>
  <dcterms:created xsi:type="dcterms:W3CDTF">2000-05-16T04:16:56Z</dcterms:created>
  <dcterms:modified xsi:type="dcterms:W3CDTF">2011-04-08T09:03:17Z</dcterms:modified>
  <cp:category/>
  <cp:version/>
  <cp:contentType/>
  <cp:contentStatus/>
</cp:coreProperties>
</file>