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35" tabRatio="597" activeTab="0"/>
  </bookViews>
  <sheets>
    <sheet name="โควตา พณ.งวด 51-52" sheetId="1" r:id="rId1"/>
  </sheets>
  <definedNames>
    <definedName name="_xlnm.Print_Area" localSheetId="0">'โควตา พณ.งวด 51-52'!$B$3:$Z$71</definedName>
    <definedName name="_xlnm.Print_Titles" localSheetId="0">'โควตา พณ.งวด 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2"/>
          </rPr>
          <t>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<sst xmlns="http://schemas.openxmlformats.org/spreadsheetml/2006/main" count="96" uniqueCount="86">
  <si>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</si>
  <si>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</si>
  <si>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</si>
  <si>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</si>
  <si>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</si>
  <si>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</si>
  <si>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</si>
  <si>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</si>
  <si>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</si>
  <si>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</si>
  <si>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</si>
  <si>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</si>
  <si>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</si>
  <si>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</si>
  <si>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</si>
  <si>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</si>
  <si>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</si>
  <si>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</si>
  <si>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</si>
  <si>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</si>
  <si>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</si>
  <si>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</si>
  <si>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</si>
  <si>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</si>
  <si>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</si>
  <si>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</si>
  <si>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</si>
  <si>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</si>
  <si>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</si>
  <si>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</si>
  <si>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</si>
  <si>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</si>
  <si>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</si>
  <si>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</si>
  <si>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</si>
  <si>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</si>
  <si>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</si>
  <si>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</si>
  <si>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</si>
  <si>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</si>
  <si>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</si>
  <si>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</si>
  <si>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</si>
  <si>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</si>
  <si>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</si>
  <si>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</si>
  <si>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</si>
  <si>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</si>
  <si>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</si>
  <si>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</si>
  <si>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</si>
  <si>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</si>
  <si>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</si>
  <si>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</si>
  <si>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</si>
  <si>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</si>
  <si>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</si>
  <si>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</si>
  <si>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ชัยดีเวลล็อป</t>
  </si>
  <si>
    <t>ณัฎฐนนท์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</si>
  <si>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</si>
  <si>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</si>
  <si>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</si>
  <si>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</si>
  <si>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</si>
  <si>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</si>
  <si>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หน่วย 100 กก./กส.</t>
  </si>
  <si>
    <t>ที.เอ.ซี คอน</t>
  </si>
  <si>
    <t>เอ.ที.ดับบลิว</t>
  </si>
  <si>
    <t>รวมโควตา</t>
  </si>
  <si>
    <t>พณ. 2 งวด</t>
  </si>
  <si>
    <t>การจำหน่าย</t>
  </si>
  <si>
    <t>รวมปริมาณ</t>
  </si>
  <si>
    <t>ค้างกระดาน</t>
  </si>
  <si>
    <t>ที.ที.บี.ธุรกิจ</t>
  </si>
  <si>
    <t>โค้วเทียมเส็ง</t>
  </si>
  <si>
    <t>ร้อยเอ็ดไฮ</t>
  </si>
  <si>
    <t>บ.สะดมภ์</t>
  </si>
  <si>
    <t xml:space="preserve"> </t>
  </si>
  <si>
    <t xml:space="preserve">บางกอก </t>
  </si>
  <si>
    <t>ประเสริฐ</t>
  </si>
  <si>
    <t>พาณิชย์ จว.</t>
  </si>
  <si>
    <t>รัตนากร</t>
  </si>
  <si>
    <t>จำนวน  1   ล้านกระสอบ   ที่กระทรวงพาณิชย์เป็นผู้บริหารจัดการ</t>
  </si>
  <si>
    <t>จึงใจ้หมง</t>
  </si>
  <si>
    <t xml:space="preserve"> ปริมาณการจำหน่าย  ตั้งแต่วันที่   31/03/53  - 16/12/53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</si>
</sst>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4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>
      <alignment vertical="center"/>
    </xf>
    <xf numFmtId="9" fontId="2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20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21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left" vertical="center"/>
      <protection/>
    </xf>
    <xf numFmtId="9" fontId="10" fillId="0" borderId="21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99" fontId="3" fillId="0" borderId="0" xfId="42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22" xfId="0" applyNumberFormat="1" applyFont="1" applyBorder="1" applyAlignment="1" applyProtection="1">
      <alignment horizontal="center" vertical="center"/>
      <protection/>
    </xf>
    <xf numFmtId="199" fontId="1" fillId="0" borderId="23" xfId="42" applyNumberFormat="1" applyFont="1" applyBorder="1" applyAlignment="1">
      <alignment/>
    </xf>
    <xf numFmtId="199" fontId="1" fillId="0" borderId="24" xfId="42" applyNumberFormat="1" applyFont="1" applyBorder="1" applyAlignment="1">
      <alignment/>
    </xf>
    <xf numFmtId="199" fontId="1" fillId="0" borderId="21" xfId="0" applyNumberFormat="1" applyFont="1" applyBorder="1" applyAlignment="1">
      <alignment/>
    </xf>
    <xf numFmtId="199" fontId="1" fillId="0" borderId="24" xfId="0" applyNumberFormat="1" applyFont="1" applyBorder="1" applyAlignment="1">
      <alignment/>
    </xf>
    <xf numFmtId="199" fontId="1" fillId="0" borderId="16" xfId="42" applyNumberFormat="1" applyFont="1" applyBorder="1" applyAlignment="1">
      <alignment/>
    </xf>
    <xf numFmtId="199" fontId="1" fillId="0" borderId="18" xfId="42" applyNumberFormat="1" applyFont="1" applyBorder="1" applyAlignment="1">
      <alignment/>
    </xf>
    <xf numFmtId="199" fontId="1" fillId="0" borderId="18" xfId="0" applyNumberFormat="1" applyFont="1" applyBorder="1" applyAlignment="1">
      <alignment/>
    </xf>
    <xf numFmtId="199" fontId="2" fillId="0" borderId="20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>
      <alignment/>
    </xf>
    <xf numFmtId="199" fontId="1" fillId="0" borderId="17" xfId="42" applyNumberFormat="1" applyFont="1" applyBorder="1" applyAlignment="1">
      <alignment/>
    </xf>
    <xf numFmtId="199" fontId="1" fillId="0" borderId="21" xfId="42" applyNumberFormat="1" applyFont="1" applyBorder="1" applyAlignment="1">
      <alignment/>
    </xf>
    <xf numFmtId="199" fontId="1" fillId="0" borderId="25" xfId="42" applyNumberFormat="1" applyFont="1" applyBorder="1" applyAlignment="1">
      <alignment/>
    </xf>
    <xf numFmtId="199" fontId="1" fillId="0" borderId="22" xfId="42" applyNumberFormat="1" applyFont="1" applyBorder="1" applyAlignment="1">
      <alignment/>
    </xf>
    <xf numFmtId="199" fontId="1" fillId="0" borderId="22" xfId="0" applyNumberFormat="1" applyFont="1" applyBorder="1" applyAlignment="1">
      <alignment/>
    </xf>
    <xf numFmtId="199" fontId="2" fillId="0" borderId="20" xfId="42" applyNumberFormat="1" applyFont="1" applyBorder="1" applyAlignment="1" applyProtection="1">
      <alignment/>
      <protection/>
    </xf>
    <xf numFmtId="43" fontId="2" fillId="0" borderId="0" xfId="42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0" borderId="25" xfId="0" applyNumberFormat="1" applyFont="1" applyBorder="1" applyAlignment="1">
      <alignment/>
    </xf>
    <xf numFmtId="198" fontId="2" fillId="0" borderId="20" xfId="0" applyNumberFormat="1" applyFont="1" applyBorder="1" applyAlignment="1" applyProtection="1">
      <alignment/>
      <protection/>
    </xf>
    <xf numFmtId="198" fontId="0" fillId="0" borderId="0" xfId="0" applyNumberFormat="1" applyAlignment="1">
      <alignment/>
    </xf>
    <xf numFmtId="198" fontId="1" fillId="0" borderId="16" xfId="0" applyNumberFormat="1" applyFont="1" applyBorder="1" applyAlignment="1">
      <alignment/>
    </xf>
    <xf numFmtId="43" fontId="1" fillId="0" borderId="0" xfId="0" applyNumberFormat="1" applyFont="1" applyFill="1" applyBorder="1" applyAlignment="1" applyProtection="1">
      <alignment/>
      <protection/>
    </xf>
    <xf numFmtId="198" fontId="1" fillId="0" borderId="16" xfId="42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98" fontId="1" fillId="0" borderId="17" xfId="42" applyNumberFormat="1" applyFont="1" applyBorder="1" applyAlignment="1">
      <alignment/>
    </xf>
    <xf numFmtId="198" fontId="1" fillId="0" borderId="21" xfId="42" applyNumberFormat="1" applyFont="1" applyBorder="1" applyAlignment="1">
      <alignment/>
    </xf>
    <xf numFmtId="198" fontId="1" fillId="0" borderId="25" xfId="0" applyNumberFormat="1" applyFont="1" applyBorder="1" applyAlignment="1">
      <alignment/>
    </xf>
    <xf numFmtId="198" fontId="1" fillId="0" borderId="24" xfId="0" applyNumberFormat="1" applyFont="1" applyBorder="1" applyAlignment="1">
      <alignment/>
    </xf>
    <xf numFmtId="198" fontId="1" fillId="0" borderId="18" xfId="0" applyNumberFormat="1" applyFont="1" applyBorder="1" applyAlignment="1">
      <alignment/>
    </xf>
    <xf numFmtId="199" fontId="9" fillId="0" borderId="0" xfId="42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10" fillId="0" borderId="16" xfId="42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99" fontId="1" fillId="0" borderId="21" xfId="0" applyNumberFormat="1" applyFont="1" applyBorder="1" applyAlignment="1" applyProtection="1">
      <alignment horizontal="left"/>
      <protection/>
    </xf>
    <xf numFmtId="199" fontId="1" fillId="0" borderId="22" xfId="0" applyNumberFormat="1" applyFont="1" applyBorder="1" applyAlignment="1" applyProtection="1">
      <alignment horizontal="left"/>
      <protection/>
    </xf>
    <xf numFmtId="199" fontId="2" fillId="0" borderId="21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99" fontId="1" fillId="0" borderId="17" xfId="0" applyNumberFormat="1" applyFont="1" applyBorder="1" applyAlignment="1" applyProtection="1">
      <alignment/>
      <protection/>
    </xf>
    <xf numFmtId="199" fontId="1" fillId="0" borderId="24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/>
      <protection/>
    </xf>
    <xf numFmtId="199" fontId="1" fillId="0" borderId="23" xfId="0" applyNumberFormat="1" applyFont="1" applyBorder="1" applyAlignment="1" applyProtection="1">
      <alignment/>
      <protection/>
    </xf>
    <xf numFmtId="199" fontId="1" fillId="0" borderId="16" xfId="42" applyNumberFormat="1" applyFont="1" applyBorder="1" applyAlignment="1" applyProtection="1">
      <alignment/>
      <protection/>
    </xf>
    <xf numFmtId="199" fontId="1" fillId="0" borderId="17" xfId="0" applyNumberFormat="1" applyFont="1" applyBorder="1" applyAlignment="1">
      <alignment/>
    </xf>
    <xf numFmtId="199" fontId="1" fillId="0" borderId="23" xfId="42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 horizontal="left"/>
      <protection/>
    </xf>
    <xf numFmtId="199" fontId="1" fillId="0" borderId="24" xfId="0" applyNumberFormat="1" applyFont="1" applyBorder="1" applyAlignment="1" applyProtection="1">
      <alignment horizontal="left"/>
      <protection/>
    </xf>
    <xf numFmtId="199" fontId="1" fillId="0" borderId="16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95"/>
  <sheetViews>
    <sheetView tabSelected="1" zoomScalePageLayoutView="0" workbookViewId="0" topLeftCell="A3">
      <pane xSplit="7" ySplit="5" topLeftCell="L57" activePane="bottomRight" state="frozen"/>
      <selection pane="topLeft" activeCell="A3" sqref="A3"/>
      <selection pane="topRight" activeCell="H3" sqref="H3"/>
      <selection pane="bottomLeft" activeCell="A8" sqref="A8"/>
      <selection pane="bottomRight" activeCell="K37" sqref="K37"/>
    </sheetView>
  </sheetViews>
  <sheetFormatPr defaultColWidth="9.140625" defaultRowHeight="21.75"/>
  <cols>
    <col min="1" max="1" width="4.00390625" style="0" customWidth="1"/>
    <col min="2" max="2" width="33.00390625" style="0" customWidth="1"/>
    <col min="3" max="3" width="10.421875" style="103" customWidth="1"/>
    <col min="4" max="4" width="8.7109375" style="103" hidden="1" customWidth="1"/>
    <col min="5" max="5" width="8.57421875" style="103" hidden="1" customWidth="1"/>
    <col min="6" max="6" width="8.8515625" style="103" hidden="1" customWidth="1"/>
    <col min="7" max="7" width="8.421875" style="0" hidden="1" customWidth="1"/>
    <col min="8" max="9" width="7.710937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8.8515625" style="0" customWidth="1"/>
    <col min="17" max="17" width="8.28125" style="0" customWidth="1"/>
    <col min="18" max="18" width="6.7109375" style="0" customWidth="1"/>
    <col min="19" max="19" width="7.28125" style="0" customWidth="1"/>
    <col min="20" max="20" width="7.8515625" style="0" customWidth="1"/>
    <col min="21" max="21" width="8.7109375" style="0" customWidth="1"/>
    <col min="22" max="22" width="8.28125" style="0" customWidth="1"/>
    <col min="23" max="23" width="7.421875" style="0" customWidth="1"/>
    <col min="24" max="24" width="6.57421875" style="0" customWidth="1"/>
    <col min="25" max="25" width="11.7109375" style="0" customWidth="1"/>
    <col min="26" max="26" width="11.28125" style="0" customWidth="1"/>
    <col min="27" max="27" width="11.00390625" style="0" customWidth="1"/>
    <col min="28" max="28" width="11.00390625" style="0" bestFit="1" customWidth="1"/>
    <col min="29" max="29" width="10.57421875" style="0" customWidth="1"/>
    <col min="30" max="30" width="11.28125" style="0" bestFit="1" customWidth="1"/>
  </cols>
  <sheetData>
    <row r="1" ht="21.75"/>
    <row r="2" spans="2:25" ht="23.25">
      <c r="B2" s="118"/>
      <c r="C2" s="118"/>
      <c r="D2" s="118"/>
      <c r="E2" s="118"/>
      <c r="F2" s="118"/>
      <c r="G2" s="118"/>
      <c r="H2" s="1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3:35" ht="21.75" customHeight="1">
      <c r="C3" s="96"/>
      <c r="D3" s="96"/>
      <c r="E3" s="96"/>
      <c r="F3" s="96"/>
      <c r="G3" s="119" t="s">
        <v>43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22"/>
      <c r="AB3" s="7"/>
      <c r="AC3" s="7"/>
      <c r="AD3" s="27"/>
      <c r="AE3" s="27"/>
      <c r="AF3" s="27"/>
      <c r="AG3" s="27"/>
      <c r="AH3" s="27"/>
      <c r="AI3" s="27"/>
    </row>
    <row r="4" spans="3:35" ht="21.75" customHeight="1">
      <c r="C4" s="96"/>
      <c r="D4" s="96"/>
      <c r="E4" s="96"/>
      <c r="F4" s="96"/>
      <c r="G4" s="118" t="s">
        <v>83</v>
      </c>
      <c r="H4" s="118"/>
      <c r="I4" s="118"/>
      <c r="J4" s="118"/>
      <c r="K4" s="118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22"/>
      <c r="AB4" s="7"/>
      <c r="AC4" s="7"/>
      <c r="AD4" s="7"/>
      <c r="AE4" s="7"/>
      <c r="AF4" s="7"/>
      <c r="AG4" s="7"/>
      <c r="AH4" s="7"/>
      <c r="AI4" s="28"/>
    </row>
    <row r="5" spans="2:32" ht="21.75" customHeight="1">
      <c r="B5" s="8"/>
      <c r="C5" s="97"/>
      <c r="D5" s="9"/>
      <c r="E5" s="10"/>
      <c r="F5" s="10"/>
      <c r="G5" s="10"/>
      <c r="H5" s="21"/>
      <c r="I5" s="23"/>
      <c r="J5" s="26"/>
      <c r="K5" s="26"/>
      <c r="Q5" s="50"/>
      <c r="R5" s="50"/>
      <c r="S5" s="50"/>
      <c r="T5" s="50" t="s">
        <v>66</v>
      </c>
      <c r="U5" s="50"/>
      <c r="V5" s="50"/>
      <c r="W5" s="50"/>
      <c r="X5" s="50"/>
      <c r="Y5" s="51"/>
      <c r="Z5" s="24"/>
      <c r="AB5" s="52"/>
      <c r="AC5" s="52"/>
      <c r="AD5" s="52"/>
      <c r="AE5" s="52"/>
      <c r="AF5" s="52"/>
    </row>
    <row r="6" spans="2:32" ht="21.75" customHeight="1">
      <c r="B6" s="116" t="s">
        <v>1</v>
      </c>
      <c r="C6" s="49" t="s">
        <v>65</v>
      </c>
      <c r="D6" s="32" t="s">
        <v>50</v>
      </c>
      <c r="E6" s="32" t="s">
        <v>51</v>
      </c>
      <c r="F6" s="32" t="s">
        <v>63</v>
      </c>
      <c r="G6" s="32" t="s">
        <v>69</v>
      </c>
      <c r="H6" s="122" t="s">
        <v>85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76"/>
      <c r="V6" s="76"/>
      <c r="W6" s="76"/>
      <c r="X6" s="76"/>
      <c r="Y6" s="85" t="s">
        <v>72</v>
      </c>
      <c r="Z6" s="49" t="s">
        <v>53</v>
      </c>
      <c r="AA6" s="40"/>
      <c r="AB6" s="40"/>
      <c r="AC6" s="40"/>
      <c r="AD6" s="40"/>
      <c r="AE6" s="42"/>
      <c r="AF6" s="42"/>
    </row>
    <row r="7" spans="2:32" ht="21.75" customHeight="1">
      <c r="B7" s="117"/>
      <c r="C7" s="48"/>
      <c r="D7" s="37" t="s">
        <v>56</v>
      </c>
      <c r="E7" s="33" t="s">
        <v>52</v>
      </c>
      <c r="F7" s="36" t="s">
        <v>64</v>
      </c>
      <c r="G7" s="54" t="s">
        <v>70</v>
      </c>
      <c r="H7" s="34" t="s">
        <v>84</v>
      </c>
      <c r="I7" s="34" t="s">
        <v>61</v>
      </c>
      <c r="J7" s="34" t="s">
        <v>62</v>
      </c>
      <c r="K7" s="29" t="s">
        <v>81</v>
      </c>
      <c r="L7" s="29" t="s">
        <v>55</v>
      </c>
      <c r="M7" s="29" t="s">
        <v>76</v>
      </c>
      <c r="N7" s="29" t="s">
        <v>58</v>
      </c>
      <c r="O7" s="29" t="s">
        <v>59</v>
      </c>
      <c r="P7" s="29" t="s">
        <v>60</v>
      </c>
      <c r="Q7" s="29" t="s">
        <v>68</v>
      </c>
      <c r="R7" s="29" t="s">
        <v>82</v>
      </c>
      <c r="S7" s="29" t="s">
        <v>80</v>
      </c>
      <c r="T7" s="29" t="s">
        <v>67</v>
      </c>
      <c r="U7" s="34" t="s">
        <v>74</v>
      </c>
      <c r="V7" s="34" t="s">
        <v>75</v>
      </c>
      <c r="W7" s="34" t="s">
        <v>77</v>
      </c>
      <c r="X7" s="34" t="s">
        <v>79</v>
      </c>
      <c r="Y7" s="95" t="s">
        <v>71</v>
      </c>
      <c r="Z7" s="86" t="s">
        <v>73</v>
      </c>
      <c r="AA7" s="39"/>
      <c r="AB7" s="39"/>
      <c r="AC7" s="39"/>
      <c r="AD7" s="41"/>
      <c r="AE7" s="42"/>
      <c r="AF7" s="42"/>
    </row>
    <row r="8" spans="2:29" ht="21.75" customHeight="1">
      <c r="B8" s="13" t="s">
        <v>47</v>
      </c>
      <c r="C8" s="98">
        <f>SUM(D8:F8)</f>
        <v>18265</v>
      </c>
      <c r="D8" s="58">
        <v>6752</v>
      </c>
      <c r="E8" s="58">
        <v>6752</v>
      </c>
      <c r="F8" s="58">
        <v>4761</v>
      </c>
      <c r="G8" s="55">
        <f>SUM(D8:E8)</f>
        <v>13504</v>
      </c>
      <c r="H8" s="56"/>
      <c r="I8" s="56"/>
      <c r="J8" s="56"/>
      <c r="K8" s="56"/>
      <c r="L8" s="56"/>
      <c r="M8" s="56"/>
      <c r="N8" s="56">
        <f>960+960</f>
        <v>1920</v>
      </c>
      <c r="O8" s="56">
        <v>1920</v>
      </c>
      <c r="P8" s="56">
        <f>1200+510+1010+660+160</f>
        <v>3540</v>
      </c>
      <c r="Q8" s="56">
        <f>300+300+300+300+300+300+300+300+600+300+300+300+300+300+300+300+300+300+460+460+300+300+300+160</f>
        <v>7680</v>
      </c>
      <c r="R8" s="56"/>
      <c r="S8" s="56"/>
      <c r="T8" s="56"/>
      <c r="U8" s="56"/>
      <c r="V8" s="56"/>
      <c r="W8" s="56"/>
      <c r="X8" s="56"/>
      <c r="Y8" s="58">
        <f>SUM(H8:X8)</f>
        <v>15060</v>
      </c>
      <c r="Z8" s="58">
        <f>C8-Y8+960+960</f>
        <v>5125</v>
      </c>
      <c r="AA8" s="43"/>
      <c r="AB8" s="44"/>
      <c r="AC8" s="42"/>
    </row>
    <row r="9" spans="2:29" ht="21.75" customHeight="1">
      <c r="B9" s="14" t="s">
        <v>48</v>
      </c>
      <c r="C9" s="113">
        <f>SUM(D9:F9)</f>
        <v>38633</v>
      </c>
      <c r="D9" s="104">
        <v>13801</v>
      </c>
      <c r="E9" s="104">
        <v>13801</v>
      </c>
      <c r="F9" s="104">
        <v>11031</v>
      </c>
      <c r="G9" s="59">
        <f>SUM(D9:E9)</f>
        <v>27602</v>
      </c>
      <c r="H9" s="60"/>
      <c r="I9" s="60"/>
      <c r="J9" s="60"/>
      <c r="K9" s="60"/>
      <c r="L9" s="60"/>
      <c r="M9" s="60"/>
      <c r="N9" s="60"/>
      <c r="O9" s="60"/>
      <c r="P9" s="60">
        <f>1600+480+300+300+600+1988+313+1220+896+325+1460+2083+2825+233</f>
        <v>14623</v>
      </c>
      <c r="Q9" s="60"/>
      <c r="R9" s="60"/>
      <c r="S9" s="60"/>
      <c r="T9" s="60"/>
      <c r="U9" s="66"/>
      <c r="V9" s="66"/>
      <c r="W9" s="66"/>
      <c r="X9" s="66"/>
      <c r="Y9" s="68">
        <f>SUM(H9:X9)</f>
        <v>14623</v>
      </c>
      <c r="Z9" s="61">
        <f>C9-Y9-960-960</f>
        <v>22090</v>
      </c>
      <c r="AA9" s="43">
        <v>23892.8</v>
      </c>
      <c r="AB9" s="44">
        <f>AA9-Z9</f>
        <v>1802.7999999999993</v>
      </c>
      <c r="AC9" s="42"/>
    </row>
    <row r="10" spans="2:29" ht="21.75" customHeight="1">
      <c r="B10" s="2" t="s">
        <v>2</v>
      </c>
      <c r="C10" s="100">
        <f aca="true" t="shared" si="0" ref="C10:Z10">SUM(C8:C9)</f>
        <v>56898</v>
      </c>
      <c r="D10" s="100">
        <f t="shared" si="0"/>
        <v>20553</v>
      </c>
      <c r="E10" s="100">
        <f t="shared" si="0"/>
        <v>20553</v>
      </c>
      <c r="F10" s="100">
        <f t="shared" si="0"/>
        <v>15792</v>
      </c>
      <c r="G10" s="62">
        <f t="shared" si="0"/>
        <v>41106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1920</v>
      </c>
      <c r="O10" s="62">
        <f t="shared" si="0"/>
        <v>1920</v>
      </c>
      <c r="P10" s="62">
        <f t="shared" si="0"/>
        <v>18163</v>
      </c>
      <c r="Q10" s="62">
        <f t="shared" si="0"/>
        <v>7680</v>
      </c>
      <c r="R10" s="62">
        <f aca="true" t="shared" si="1" ref="R10:X10">SUM(R8:R9)</f>
        <v>0</v>
      </c>
      <c r="S10" s="62"/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0"/>
        <v>29683</v>
      </c>
      <c r="Z10" s="62">
        <f t="shared" si="0"/>
        <v>27215</v>
      </c>
      <c r="AA10" s="31"/>
      <c r="AB10" s="31"/>
      <c r="AC10" s="42"/>
    </row>
    <row r="11" spans="2:29" ht="21.75" customHeight="1">
      <c r="B11" s="13" t="s">
        <v>4</v>
      </c>
      <c r="C11" s="114">
        <f>SUM(D11:F11)</f>
        <v>47895</v>
      </c>
      <c r="D11" s="58">
        <v>15911</v>
      </c>
      <c r="E11" s="58">
        <v>15911</v>
      </c>
      <c r="F11" s="58">
        <v>16073</v>
      </c>
      <c r="G11" s="59">
        <f>SUM(D11:E11)</f>
        <v>31822</v>
      </c>
      <c r="H11" s="56"/>
      <c r="I11" s="56"/>
      <c r="J11" s="56"/>
      <c r="K11" s="56"/>
      <c r="L11" s="56"/>
      <c r="M11" s="56"/>
      <c r="N11" s="56">
        <f>1920+1440+960</f>
        <v>4320</v>
      </c>
      <c r="O11" s="56"/>
      <c r="P11" s="56"/>
      <c r="Q11" s="56"/>
      <c r="R11" s="56"/>
      <c r="S11" s="56"/>
      <c r="T11" s="56"/>
      <c r="U11" s="65">
        <f>1920+1920+1920+960</f>
        <v>6720</v>
      </c>
      <c r="V11" s="65"/>
      <c r="W11" s="65">
        <v>960</v>
      </c>
      <c r="X11" s="65"/>
      <c r="Y11" s="58">
        <f>SUM(H11:X11)</f>
        <v>12000</v>
      </c>
      <c r="Z11" s="58">
        <f>C11-Y11</f>
        <v>35895</v>
      </c>
      <c r="AA11" s="45"/>
      <c r="AB11" s="44">
        <v>1760</v>
      </c>
      <c r="AC11" s="42"/>
    </row>
    <row r="12" spans="2:29" ht="21.75" customHeight="1">
      <c r="B12" s="14" t="s">
        <v>5</v>
      </c>
      <c r="C12" s="113">
        <f>SUM(D12:F12)</f>
        <v>9432</v>
      </c>
      <c r="D12" s="104">
        <v>4303</v>
      </c>
      <c r="E12" s="104">
        <v>4303</v>
      </c>
      <c r="F12" s="104">
        <v>826</v>
      </c>
      <c r="G12" s="59">
        <f>SUM(D12:E12)</f>
        <v>8606</v>
      </c>
      <c r="H12" s="60"/>
      <c r="I12" s="60"/>
      <c r="J12" s="60"/>
      <c r="K12" s="60"/>
      <c r="L12" s="60"/>
      <c r="M12" s="60"/>
      <c r="N12" s="60">
        <v>960</v>
      </c>
      <c r="O12" s="60">
        <v>960</v>
      </c>
      <c r="P12" s="60">
        <f>1600+1600+1860+900+726</f>
        <v>6686</v>
      </c>
      <c r="Q12" s="60"/>
      <c r="R12" s="60"/>
      <c r="S12" s="60"/>
      <c r="T12" s="60"/>
      <c r="U12" s="60"/>
      <c r="V12" s="60"/>
      <c r="W12" s="60"/>
      <c r="X12" s="60"/>
      <c r="Y12" s="79">
        <f>SUM(H12:X12)</f>
        <v>8606</v>
      </c>
      <c r="Z12" s="61">
        <f>C12-Y12</f>
        <v>826</v>
      </c>
      <c r="AA12" s="43"/>
      <c r="AB12" s="44">
        <f>AB9-AB11</f>
        <v>42.79999999999927</v>
      </c>
      <c r="AC12" s="42"/>
    </row>
    <row r="13" spans="2:29" ht="21.75" customHeight="1">
      <c r="B13" s="2" t="s">
        <v>2</v>
      </c>
      <c r="C13" s="100">
        <f aca="true" t="shared" si="2" ref="C13:Z13">SUM(C11:C12)</f>
        <v>57327</v>
      </c>
      <c r="D13" s="100">
        <f t="shared" si="2"/>
        <v>20214</v>
      </c>
      <c r="E13" s="100">
        <f t="shared" si="2"/>
        <v>20214</v>
      </c>
      <c r="F13" s="100">
        <f t="shared" si="2"/>
        <v>16899</v>
      </c>
      <c r="G13" s="62">
        <f t="shared" si="2"/>
        <v>40428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5280</v>
      </c>
      <c r="O13" s="62">
        <f t="shared" si="2"/>
        <v>960</v>
      </c>
      <c r="P13" s="62">
        <f t="shared" si="2"/>
        <v>6686</v>
      </c>
      <c r="Q13" s="62">
        <f aca="true" t="shared" si="3" ref="Q13:X13">SUM(Q11:Q12)</f>
        <v>0</v>
      </c>
      <c r="R13" s="62">
        <f t="shared" si="3"/>
        <v>0</v>
      </c>
      <c r="S13" s="62"/>
      <c r="T13" s="62">
        <f t="shared" si="3"/>
        <v>0</v>
      </c>
      <c r="U13" s="62">
        <f t="shared" si="3"/>
        <v>6720</v>
      </c>
      <c r="V13" s="62">
        <f t="shared" si="3"/>
        <v>0</v>
      </c>
      <c r="W13" s="62">
        <f t="shared" si="3"/>
        <v>960</v>
      </c>
      <c r="X13" s="62">
        <f t="shared" si="3"/>
        <v>0</v>
      </c>
      <c r="Y13" s="62">
        <f t="shared" si="2"/>
        <v>20606</v>
      </c>
      <c r="Z13" s="62">
        <f t="shared" si="2"/>
        <v>36721</v>
      </c>
      <c r="AA13" s="43"/>
      <c r="AB13" s="31"/>
      <c r="AC13" s="42"/>
    </row>
    <row r="14" spans="2:30" ht="21.75" customHeight="1">
      <c r="B14" s="15" t="s">
        <v>6</v>
      </c>
      <c r="C14" s="98">
        <f aca="true" t="shared" si="4" ref="C14:C20">SUM(D14:F14)</f>
        <v>14220</v>
      </c>
      <c r="D14" s="105">
        <v>6375</v>
      </c>
      <c r="E14" s="105">
        <v>6375</v>
      </c>
      <c r="F14" s="105">
        <v>1470</v>
      </c>
      <c r="G14" s="59">
        <f aca="true" t="shared" si="5" ref="G14:G20">SUM(D14:E14)</f>
        <v>12750</v>
      </c>
      <c r="H14" s="56"/>
      <c r="I14" s="56"/>
      <c r="J14" s="56"/>
      <c r="K14" s="56"/>
      <c r="L14" s="56"/>
      <c r="M14" s="56"/>
      <c r="N14" s="56"/>
      <c r="O14" s="56"/>
      <c r="P14" s="56">
        <f>500+150+710</f>
        <v>1360</v>
      </c>
      <c r="Q14" s="55"/>
      <c r="R14" s="55"/>
      <c r="S14" s="55"/>
      <c r="T14" s="55"/>
      <c r="U14" s="55"/>
      <c r="V14" s="55"/>
      <c r="W14" s="55">
        <f>360+635+320</f>
        <v>1315</v>
      </c>
      <c r="X14" s="55">
        <f>150+150+300+300+300</f>
        <v>1200</v>
      </c>
      <c r="Y14" s="57">
        <f aca="true" t="shared" si="6" ref="Y14:Y63">SUM(H14:X14)</f>
        <v>3875</v>
      </c>
      <c r="Z14" s="58">
        <f aca="true" t="shared" si="7" ref="Z14:Z20">C14-Y14</f>
        <v>10345</v>
      </c>
      <c r="AA14" s="44"/>
      <c r="AB14" s="44"/>
      <c r="AC14" s="44"/>
      <c r="AD14" s="30"/>
    </row>
    <row r="15" spans="2:29" ht="21.75" customHeight="1">
      <c r="B15" s="16" t="s">
        <v>7</v>
      </c>
      <c r="C15" s="101">
        <f t="shared" si="4"/>
        <v>12789</v>
      </c>
      <c r="D15" s="106">
        <v>6167</v>
      </c>
      <c r="E15" s="106">
        <v>6167</v>
      </c>
      <c r="F15" s="106">
        <v>455</v>
      </c>
      <c r="G15" s="59">
        <f t="shared" si="5"/>
        <v>12334</v>
      </c>
      <c r="H15" s="59"/>
      <c r="I15" s="59"/>
      <c r="J15" s="59"/>
      <c r="K15" s="59"/>
      <c r="L15" s="59"/>
      <c r="M15" s="59"/>
      <c r="N15" s="59">
        <f>320+160+1920+1760</f>
        <v>4160</v>
      </c>
      <c r="O15" s="59">
        <f>800+960+960</f>
        <v>2720</v>
      </c>
      <c r="P15" s="59">
        <f>160+320+960+480</f>
        <v>1920</v>
      </c>
      <c r="Q15" s="59"/>
      <c r="R15" s="59"/>
      <c r="S15" s="59"/>
      <c r="T15" s="59"/>
      <c r="U15" s="59">
        <f>960+160+300+150+1750+140</f>
        <v>3460</v>
      </c>
      <c r="V15" s="59"/>
      <c r="W15" s="59"/>
      <c r="X15" s="59"/>
      <c r="Y15" s="63">
        <f t="shared" si="6"/>
        <v>12260</v>
      </c>
      <c r="Z15" s="63">
        <f t="shared" si="7"/>
        <v>529</v>
      </c>
      <c r="AA15" s="44"/>
      <c r="AB15" s="44"/>
      <c r="AC15" s="44"/>
    </row>
    <row r="16" spans="2:29" ht="21.75" customHeight="1">
      <c r="B16" s="16" t="s">
        <v>8</v>
      </c>
      <c r="C16" s="101">
        <f t="shared" si="4"/>
        <v>41962</v>
      </c>
      <c r="D16" s="106">
        <v>15187</v>
      </c>
      <c r="E16" s="106">
        <v>15187</v>
      </c>
      <c r="F16" s="106">
        <v>11588</v>
      </c>
      <c r="G16" s="59">
        <f t="shared" si="5"/>
        <v>30374</v>
      </c>
      <c r="H16" s="59"/>
      <c r="I16" s="59"/>
      <c r="J16" s="59"/>
      <c r="K16" s="59"/>
      <c r="L16" s="59"/>
      <c r="M16" s="59"/>
      <c r="N16" s="59">
        <v>960</v>
      </c>
      <c r="O16" s="59">
        <v>960</v>
      </c>
      <c r="P16" s="59">
        <f>160+480+600+960+480+480+640+480+1760+960+150+480+640+1200+160+640+960+640</f>
        <v>11870</v>
      </c>
      <c r="Q16" s="59"/>
      <c r="R16" s="59"/>
      <c r="S16" s="59"/>
      <c r="T16" s="59"/>
      <c r="U16" s="59">
        <f>2000+145+880+150+1625+4614+1920</f>
        <v>11334</v>
      </c>
      <c r="V16" s="59"/>
      <c r="W16" s="59"/>
      <c r="X16" s="59">
        <v>600</v>
      </c>
      <c r="Y16" s="63">
        <f t="shared" si="6"/>
        <v>25724</v>
      </c>
      <c r="Z16" s="63">
        <f t="shared" si="7"/>
        <v>16238</v>
      </c>
      <c r="AA16" s="44"/>
      <c r="AB16" s="44"/>
      <c r="AC16" s="44"/>
    </row>
    <row r="17" spans="2:29" ht="21.75" customHeight="1">
      <c r="B17" s="16" t="s">
        <v>44</v>
      </c>
      <c r="C17" s="101">
        <f t="shared" si="4"/>
        <v>36140</v>
      </c>
      <c r="D17" s="106">
        <v>12722</v>
      </c>
      <c r="E17" s="106">
        <v>12722</v>
      </c>
      <c r="F17" s="106">
        <v>10696</v>
      </c>
      <c r="G17" s="59">
        <f t="shared" si="5"/>
        <v>25444</v>
      </c>
      <c r="H17" s="59"/>
      <c r="I17" s="59"/>
      <c r="J17" s="59"/>
      <c r="K17" s="59"/>
      <c r="L17" s="59">
        <v>2240</v>
      </c>
      <c r="M17" s="59"/>
      <c r="N17" s="59">
        <f>1200+800+1690+1200+200+300+1050+160+900+1350+500+450+920+100+1000+3840+4800+1920+824</f>
        <v>23204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3">
        <f t="shared" si="6"/>
        <v>25444</v>
      </c>
      <c r="Z17" s="63">
        <f t="shared" si="7"/>
        <v>10696</v>
      </c>
      <c r="AA17" s="44"/>
      <c r="AB17" s="44"/>
      <c r="AC17" s="44"/>
    </row>
    <row r="18" spans="2:29" ht="21.75" customHeight="1">
      <c r="B18" s="16" t="s">
        <v>10</v>
      </c>
      <c r="C18" s="101">
        <f t="shared" si="4"/>
        <v>9555</v>
      </c>
      <c r="D18" s="106">
        <v>4206</v>
      </c>
      <c r="E18" s="106">
        <v>4206</v>
      </c>
      <c r="F18" s="106">
        <v>1143</v>
      </c>
      <c r="G18" s="59">
        <f t="shared" si="5"/>
        <v>8412</v>
      </c>
      <c r="H18" s="59"/>
      <c r="I18" s="59">
        <v>3266</v>
      </c>
      <c r="J18" s="59"/>
      <c r="K18" s="59"/>
      <c r="L18" s="59"/>
      <c r="M18" s="59"/>
      <c r="N18" s="59">
        <f>960+960</f>
        <v>1920</v>
      </c>
      <c r="O18" s="59">
        <f>960+960</f>
        <v>1920</v>
      </c>
      <c r="P18" s="59">
        <f>600+600+106</f>
        <v>1306</v>
      </c>
      <c r="Q18" s="59"/>
      <c r="R18" s="59"/>
      <c r="S18" s="59"/>
      <c r="T18" s="59"/>
      <c r="U18" s="59"/>
      <c r="V18" s="59"/>
      <c r="W18" s="59"/>
      <c r="X18" s="59"/>
      <c r="Y18" s="63">
        <f t="shared" si="6"/>
        <v>8412</v>
      </c>
      <c r="Z18" s="63">
        <f t="shared" si="7"/>
        <v>1143</v>
      </c>
      <c r="AA18" s="44"/>
      <c r="AB18" s="44"/>
      <c r="AC18" s="44"/>
    </row>
    <row r="19" spans="2:29" ht="21.75" customHeight="1">
      <c r="B19" s="16" t="s">
        <v>9</v>
      </c>
      <c r="C19" s="101">
        <f t="shared" si="4"/>
        <v>38340</v>
      </c>
      <c r="D19" s="106">
        <v>15887</v>
      </c>
      <c r="E19" s="106">
        <v>15887</v>
      </c>
      <c r="F19" s="106">
        <v>6566</v>
      </c>
      <c r="G19" s="59">
        <f t="shared" si="5"/>
        <v>31774</v>
      </c>
      <c r="H19" s="59"/>
      <c r="I19" s="59"/>
      <c r="J19" s="59"/>
      <c r="K19" s="59"/>
      <c r="L19" s="59"/>
      <c r="M19" s="59"/>
      <c r="N19" s="59">
        <f>960+960</f>
        <v>1920</v>
      </c>
      <c r="O19" s="59">
        <f>960+960</f>
        <v>1920</v>
      </c>
      <c r="P19" s="59">
        <f>1390+635+5010+1710+2020+3560+1990+3200+691</f>
        <v>20206</v>
      </c>
      <c r="Q19" s="59"/>
      <c r="R19" s="94"/>
      <c r="S19" s="94"/>
      <c r="T19" s="59"/>
      <c r="U19" s="59">
        <f>2000+2800+2778+2880</f>
        <v>10458</v>
      </c>
      <c r="V19" s="59"/>
      <c r="W19" s="59"/>
      <c r="X19" s="59">
        <f>150</f>
        <v>150</v>
      </c>
      <c r="Y19" s="63">
        <f t="shared" si="6"/>
        <v>34654</v>
      </c>
      <c r="Z19" s="63">
        <f t="shared" si="7"/>
        <v>3686</v>
      </c>
      <c r="AA19" s="44"/>
      <c r="AB19" s="44"/>
      <c r="AC19" s="44"/>
    </row>
    <row r="20" spans="2:29" ht="21.75" customHeight="1">
      <c r="B20" s="15" t="s">
        <v>11</v>
      </c>
      <c r="C20" s="99">
        <f t="shared" si="4"/>
        <v>24765</v>
      </c>
      <c r="D20" s="107">
        <v>9863</v>
      </c>
      <c r="E20" s="107">
        <v>9863</v>
      </c>
      <c r="F20" s="107">
        <v>5039</v>
      </c>
      <c r="G20" s="59">
        <f t="shared" si="5"/>
        <v>19726</v>
      </c>
      <c r="H20" s="60"/>
      <c r="I20" s="60"/>
      <c r="J20" s="60"/>
      <c r="K20" s="60"/>
      <c r="L20" s="60"/>
      <c r="M20" s="60"/>
      <c r="N20" s="60">
        <f>900+1210+960+800+1590</f>
        <v>5460</v>
      </c>
      <c r="O20" s="60">
        <f>300+960+600</f>
        <v>1860</v>
      </c>
      <c r="P20" s="60">
        <v>320</v>
      </c>
      <c r="Q20" s="64"/>
      <c r="R20" s="64"/>
      <c r="S20" s="64">
        <v>1230</v>
      </c>
      <c r="T20" s="64"/>
      <c r="U20" s="64"/>
      <c r="V20" s="64"/>
      <c r="W20" s="64"/>
      <c r="X20" s="64">
        <v>600</v>
      </c>
      <c r="Y20" s="68">
        <f t="shared" si="6"/>
        <v>9470</v>
      </c>
      <c r="Z20" s="61">
        <f t="shared" si="7"/>
        <v>15295</v>
      </c>
      <c r="AA20" s="44"/>
      <c r="AB20" s="44"/>
      <c r="AC20" s="44"/>
    </row>
    <row r="21" spans="2:29" ht="21.75" customHeight="1">
      <c r="B21" s="2" t="s">
        <v>2</v>
      </c>
      <c r="C21" s="62">
        <f aca="true" t="shared" si="8" ref="C21:Z21">SUM(C14:C20)</f>
        <v>177771</v>
      </c>
      <c r="D21" s="62">
        <f t="shared" si="8"/>
        <v>70407</v>
      </c>
      <c r="E21" s="62">
        <f t="shared" si="8"/>
        <v>70407</v>
      </c>
      <c r="F21" s="62">
        <f t="shared" si="8"/>
        <v>36957</v>
      </c>
      <c r="G21" s="62">
        <f t="shared" si="8"/>
        <v>140814</v>
      </c>
      <c r="H21" s="62">
        <f t="shared" si="8"/>
        <v>0</v>
      </c>
      <c r="I21" s="62">
        <f t="shared" si="8"/>
        <v>3266</v>
      </c>
      <c r="J21" s="62">
        <f t="shared" si="8"/>
        <v>0</v>
      </c>
      <c r="K21" s="62">
        <f t="shared" si="8"/>
        <v>0</v>
      </c>
      <c r="L21" s="62">
        <f>SUM(L14:L20)</f>
        <v>2240</v>
      </c>
      <c r="M21" s="62">
        <f>SUM(M14:M20)</f>
        <v>0</v>
      </c>
      <c r="N21" s="62">
        <f t="shared" si="8"/>
        <v>37624</v>
      </c>
      <c r="O21" s="62">
        <f t="shared" si="8"/>
        <v>9380</v>
      </c>
      <c r="P21" s="62">
        <f t="shared" si="8"/>
        <v>36982</v>
      </c>
      <c r="Q21" s="62">
        <f t="shared" si="8"/>
        <v>0</v>
      </c>
      <c r="R21" s="62">
        <f t="shared" si="8"/>
        <v>0</v>
      </c>
      <c r="S21" s="62">
        <f t="shared" si="8"/>
        <v>1230</v>
      </c>
      <c r="T21" s="62">
        <f t="shared" si="8"/>
        <v>0</v>
      </c>
      <c r="U21" s="62">
        <f t="shared" si="8"/>
        <v>25252</v>
      </c>
      <c r="V21" s="62">
        <f t="shared" si="8"/>
        <v>0</v>
      </c>
      <c r="W21" s="62">
        <f t="shared" si="8"/>
        <v>1315</v>
      </c>
      <c r="X21" s="62">
        <f t="shared" si="8"/>
        <v>2550</v>
      </c>
      <c r="Y21" s="62">
        <f t="shared" si="8"/>
        <v>119839</v>
      </c>
      <c r="Z21" s="62">
        <f t="shared" si="8"/>
        <v>57932</v>
      </c>
      <c r="AA21" s="31"/>
      <c r="AB21" s="31"/>
      <c r="AC21" s="46"/>
    </row>
    <row r="22" spans="2:29" ht="21.75" customHeight="1">
      <c r="B22" s="15" t="s">
        <v>14</v>
      </c>
      <c r="C22" s="114">
        <f>SUM(D22:F22)</f>
        <v>20011</v>
      </c>
      <c r="D22" s="107">
        <v>8059</v>
      </c>
      <c r="E22" s="107">
        <v>8059</v>
      </c>
      <c r="F22" s="107">
        <v>3893</v>
      </c>
      <c r="G22" s="59">
        <f>SUM(D22:E22)</f>
        <v>16118</v>
      </c>
      <c r="H22" s="56"/>
      <c r="I22" s="56"/>
      <c r="J22" s="56"/>
      <c r="K22" s="56"/>
      <c r="L22" s="56"/>
      <c r="M22" s="56"/>
      <c r="N22" s="56">
        <v>960</v>
      </c>
      <c r="O22" s="56">
        <v>960</v>
      </c>
      <c r="P22" s="56">
        <f>960+1110+810+3400+1310+1320+3190+330+450+150+160+320+150+150+150+150+88</f>
        <v>14198</v>
      </c>
      <c r="Q22" s="55"/>
      <c r="R22" s="55"/>
      <c r="S22" s="55"/>
      <c r="T22" s="55"/>
      <c r="U22" s="55"/>
      <c r="V22" s="55"/>
      <c r="W22" s="55"/>
      <c r="X22" s="55"/>
      <c r="Y22" s="79">
        <f t="shared" si="6"/>
        <v>16118</v>
      </c>
      <c r="Z22" s="58">
        <f>C22-Y22</f>
        <v>3893</v>
      </c>
      <c r="AA22" s="42"/>
      <c r="AB22" s="44"/>
      <c r="AC22" s="42"/>
    </row>
    <row r="23" spans="2:29" ht="21.75" customHeight="1">
      <c r="B23" s="16" t="s">
        <v>15</v>
      </c>
      <c r="C23" s="115">
        <f>SUM(D23:F23)</f>
        <v>10531</v>
      </c>
      <c r="D23" s="106">
        <v>5192</v>
      </c>
      <c r="E23" s="106">
        <v>5192</v>
      </c>
      <c r="F23" s="106">
        <v>147</v>
      </c>
      <c r="G23" s="59">
        <f>SUM(D23:E23)</f>
        <v>10384</v>
      </c>
      <c r="H23" s="59"/>
      <c r="I23" s="59"/>
      <c r="J23" s="59"/>
      <c r="K23" s="59"/>
      <c r="L23" s="59"/>
      <c r="M23" s="59"/>
      <c r="N23" s="59">
        <v>960</v>
      </c>
      <c r="O23" s="59">
        <v>960</v>
      </c>
      <c r="P23" s="84">
        <f>160+330+310+330+330+330+510+300+160+160+380+132.5+300+320+200+480+640+1073+480+460+330+444</f>
        <v>8159.5</v>
      </c>
      <c r="Q23" s="59"/>
      <c r="R23" s="59"/>
      <c r="S23" s="59"/>
      <c r="T23" s="59"/>
      <c r="U23" s="59"/>
      <c r="V23" s="59"/>
      <c r="W23" s="59"/>
      <c r="X23" s="59"/>
      <c r="Y23" s="63">
        <f t="shared" si="6"/>
        <v>10079.5</v>
      </c>
      <c r="Z23" s="63">
        <f>C23-Y23-90.5-122.5-88.5</f>
        <v>150</v>
      </c>
      <c r="AA23" s="42"/>
      <c r="AB23" s="44"/>
      <c r="AC23" s="42"/>
    </row>
    <row r="24" spans="2:29" ht="21.75" customHeight="1">
      <c r="B24" s="16" t="s">
        <v>16</v>
      </c>
      <c r="C24" s="115">
        <f>SUM(D24:F24)</f>
        <v>6542</v>
      </c>
      <c r="D24" s="106">
        <v>3563</v>
      </c>
      <c r="E24" s="106">
        <v>3563</v>
      </c>
      <c r="F24" s="106">
        <v>-584</v>
      </c>
      <c r="G24" s="59">
        <v>6542</v>
      </c>
      <c r="H24" s="59"/>
      <c r="I24" s="59"/>
      <c r="J24" s="59"/>
      <c r="K24" s="59"/>
      <c r="L24" s="59"/>
      <c r="M24" s="59"/>
      <c r="N24" s="59">
        <v>960</v>
      </c>
      <c r="O24" s="59">
        <v>960</v>
      </c>
      <c r="P24" s="84">
        <f>600+150+150+320+250+320+10+200+450+165+447.5+300+600+590+160+122.5+88.5</f>
        <v>4923.5</v>
      </c>
      <c r="Q24" s="59"/>
      <c r="R24" s="59"/>
      <c r="S24" s="59"/>
      <c r="T24" s="59"/>
      <c r="U24" s="59"/>
      <c r="V24" s="59"/>
      <c r="W24" s="59"/>
      <c r="X24" s="59"/>
      <c r="Y24" s="82">
        <f t="shared" si="6"/>
        <v>6843.5</v>
      </c>
      <c r="Z24" s="82">
        <f>C24-Y24+90.5+122.5+88.5</f>
        <v>0</v>
      </c>
      <c r="AA24" s="42"/>
      <c r="AB24" s="44"/>
      <c r="AC24" s="42"/>
    </row>
    <row r="25" spans="2:29" ht="21.75" customHeight="1">
      <c r="B25" s="15" t="s">
        <v>13</v>
      </c>
      <c r="C25" s="113">
        <f>SUM(D25:F25)</f>
        <v>27468</v>
      </c>
      <c r="D25" s="107">
        <v>14225</v>
      </c>
      <c r="E25" s="107">
        <v>14225</v>
      </c>
      <c r="F25" s="107">
        <v>-982</v>
      </c>
      <c r="G25" s="59">
        <v>27468</v>
      </c>
      <c r="H25" s="60"/>
      <c r="I25" s="60"/>
      <c r="J25" s="60"/>
      <c r="K25" s="60"/>
      <c r="L25" s="60"/>
      <c r="M25" s="60"/>
      <c r="N25" s="60">
        <f>960</f>
        <v>960</v>
      </c>
      <c r="O25" s="60"/>
      <c r="P25" s="60">
        <f>3320+1120+3270+2610+2180+2600+2650+2250+1870+1660+2500</f>
        <v>26030</v>
      </c>
      <c r="Q25" s="64"/>
      <c r="R25" s="64"/>
      <c r="S25" s="64"/>
      <c r="T25" s="64"/>
      <c r="U25" s="64"/>
      <c r="V25" s="64"/>
      <c r="W25" s="64"/>
      <c r="X25" s="64"/>
      <c r="Y25" s="79">
        <f t="shared" si="6"/>
        <v>26990</v>
      </c>
      <c r="Z25" s="63">
        <f>C25-Y25</f>
        <v>478</v>
      </c>
      <c r="AA25" s="42"/>
      <c r="AB25" s="44"/>
      <c r="AC25" s="42"/>
    </row>
    <row r="26" spans="2:29" ht="21.75" customHeight="1">
      <c r="B26" s="2" t="s">
        <v>2</v>
      </c>
      <c r="C26" s="62">
        <f aca="true" t="shared" si="9" ref="C26:K26">SUM(C22:C25)</f>
        <v>64552</v>
      </c>
      <c r="D26" s="62">
        <f t="shared" si="9"/>
        <v>31039</v>
      </c>
      <c r="E26" s="62">
        <f t="shared" si="9"/>
        <v>31039</v>
      </c>
      <c r="F26" s="62">
        <f t="shared" si="9"/>
        <v>2474</v>
      </c>
      <c r="G26" s="62">
        <f t="shared" si="9"/>
        <v>60512</v>
      </c>
      <c r="H26" s="62">
        <f t="shared" si="9"/>
        <v>0</v>
      </c>
      <c r="I26" s="62">
        <f t="shared" si="9"/>
        <v>0</v>
      </c>
      <c r="J26" s="62">
        <f t="shared" si="9"/>
        <v>0</v>
      </c>
      <c r="K26" s="62">
        <f t="shared" si="9"/>
        <v>0</v>
      </c>
      <c r="L26" s="62">
        <f aca="true" t="shared" si="10" ref="L26:X26">SUM(L22:L25)</f>
        <v>0</v>
      </c>
      <c r="M26" s="62">
        <f t="shared" si="10"/>
        <v>0</v>
      </c>
      <c r="N26" s="62">
        <f t="shared" si="10"/>
        <v>3840</v>
      </c>
      <c r="O26" s="62">
        <f t="shared" si="10"/>
        <v>2880</v>
      </c>
      <c r="P26" s="80">
        <f t="shared" si="10"/>
        <v>53311</v>
      </c>
      <c r="Q26" s="62">
        <f t="shared" si="10"/>
        <v>0</v>
      </c>
      <c r="R26" s="62">
        <f t="shared" si="10"/>
        <v>0</v>
      </c>
      <c r="S26" s="62"/>
      <c r="T26" s="62">
        <f t="shared" si="10"/>
        <v>0</v>
      </c>
      <c r="U26" s="62">
        <f t="shared" si="10"/>
        <v>0</v>
      </c>
      <c r="V26" s="62">
        <f t="shared" si="10"/>
        <v>0</v>
      </c>
      <c r="W26" s="62">
        <f t="shared" si="10"/>
        <v>0</v>
      </c>
      <c r="X26" s="62">
        <f t="shared" si="10"/>
        <v>0</v>
      </c>
      <c r="Y26" s="62">
        <f>SUM(Y22:Y25)</f>
        <v>60031</v>
      </c>
      <c r="Z26" s="62">
        <f>SUM(Z22:Z25)</f>
        <v>4521</v>
      </c>
      <c r="AA26" s="93"/>
      <c r="AB26" s="31"/>
      <c r="AC26" s="42"/>
    </row>
    <row r="27" spans="2:29" ht="21.75" customHeight="1">
      <c r="B27" s="15" t="s">
        <v>32</v>
      </c>
      <c r="C27" s="114">
        <f>SUM(D27:F27)</f>
        <v>29430</v>
      </c>
      <c r="D27" s="55">
        <v>11753</v>
      </c>
      <c r="E27" s="55">
        <v>11753</v>
      </c>
      <c r="F27" s="55">
        <v>5924</v>
      </c>
      <c r="G27" s="59">
        <f>SUM(D27:E27)</f>
        <v>23506</v>
      </c>
      <c r="H27" s="56"/>
      <c r="I27" s="56"/>
      <c r="J27" s="56"/>
      <c r="K27" s="56"/>
      <c r="L27" s="56"/>
      <c r="M27" s="56"/>
      <c r="N27" s="56">
        <f>1000+5000+5000+2000+1000+2250+960+1250+1150+1500+2250+1106+1500+1600+1250+1000+1300+1250+1000+1250+1250+1500+2025+1800+960+1450+460+330</f>
        <v>44391</v>
      </c>
      <c r="O27" s="56">
        <v>960</v>
      </c>
      <c r="P27" s="56">
        <v>760</v>
      </c>
      <c r="Q27" s="65"/>
      <c r="R27" s="65"/>
      <c r="S27" s="65"/>
      <c r="T27" s="65"/>
      <c r="U27" s="65">
        <f>100+500+320+300+500+500+500+500+250+660+500+320+500+2100+600+1750+750+1000+1500+1500+1500+1500+960</f>
        <v>18610</v>
      </c>
      <c r="V27" s="65"/>
      <c r="W27" s="65"/>
      <c r="X27" s="65"/>
      <c r="Y27" s="79">
        <f t="shared" si="6"/>
        <v>64721</v>
      </c>
      <c r="Z27" s="63">
        <f>C27-Y27+760+960+960+100+2000+320+300+2100+1250+500+1500+500+1000+500+1300+1500+1250+1500+2685+1250+2300+320+600+1750+1920+1500+2100+2200+1000+1960+330+1500+1500</f>
        <v>5924</v>
      </c>
      <c r="AA27" s="42"/>
      <c r="AB27" s="44"/>
      <c r="AC27" s="42"/>
    </row>
    <row r="28" spans="2:29" ht="21.75" customHeight="1">
      <c r="B28" s="16" t="s">
        <v>31</v>
      </c>
      <c r="C28" s="115">
        <f>SUM(D28:F28)</f>
        <v>26260</v>
      </c>
      <c r="D28" s="59">
        <v>9447</v>
      </c>
      <c r="E28" s="59">
        <v>9447</v>
      </c>
      <c r="F28" s="59">
        <v>7366</v>
      </c>
      <c r="G28" s="59">
        <f>SUM(D28:E28)</f>
        <v>18894</v>
      </c>
      <c r="H28" s="59"/>
      <c r="I28" s="59"/>
      <c r="J28" s="59"/>
      <c r="K28" s="59"/>
      <c r="L28" s="59"/>
      <c r="M28" s="59"/>
      <c r="N28" s="59">
        <f>960+960+960</f>
        <v>2880</v>
      </c>
      <c r="O28" s="59">
        <f>960+960</f>
        <v>1920</v>
      </c>
      <c r="P28" s="59"/>
      <c r="Q28" s="59"/>
      <c r="R28" s="59"/>
      <c r="S28" s="59"/>
      <c r="T28" s="59"/>
      <c r="U28" s="59">
        <f>1100+1000+300+550+1150+300+1350+500+800+1000+1000+820+684</f>
        <v>10554</v>
      </c>
      <c r="V28" s="59"/>
      <c r="W28" s="59"/>
      <c r="X28" s="59"/>
      <c r="Y28" s="63">
        <f t="shared" si="6"/>
        <v>15354</v>
      </c>
      <c r="Z28" s="63">
        <f>C28-Y28-960</f>
        <v>9946</v>
      </c>
      <c r="AA28" s="93"/>
      <c r="AB28" s="44"/>
      <c r="AC28" s="42"/>
    </row>
    <row r="29" spans="2:29" ht="21.75" customHeight="1">
      <c r="B29" s="15" t="s">
        <v>49</v>
      </c>
      <c r="C29" s="113">
        <f>SUM(D29:F29)</f>
        <v>82655</v>
      </c>
      <c r="D29" s="59">
        <v>32071</v>
      </c>
      <c r="E29" s="59">
        <v>32071</v>
      </c>
      <c r="F29" s="64">
        <v>18513</v>
      </c>
      <c r="G29" s="59">
        <f>SUM(D29:E29)</f>
        <v>64142</v>
      </c>
      <c r="H29" s="60"/>
      <c r="I29" s="60"/>
      <c r="J29" s="60"/>
      <c r="K29" s="60"/>
      <c r="L29" s="60"/>
      <c r="M29" s="60"/>
      <c r="N29" s="60">
        <f>960</f>
        <v>960</v>
      </c>
      <c r="O29" s="60">
        <v>960</v>
      </c>
      <c r="P29" s="60">
        <v>200</v>
      </c>
      <c r="Q29" s="67"/>
      <c r="R29" s="67"/>
      <c r="S29" s="67"/>
      <c r="T29" s="67"/>
      <c r="U29" s="67"/>
      <c r="V29" s="67"/>
      <c r="W29" s="67"/>
      <c r="X29" s="67"/>
      <c r="Y29" s="79">
        <f t="shared" si="6"/>
        <v>2120</v>
      </c>
      <c r="Z29" s="63">
        <f>C29-Y29-760-960-960-100-2000-320-300-2100-1250-500-1500-500-1000-500-1300-1500-1250-1500-2685-1250-2300-320-600-1750-2100-2200-960-1500-1000-1960-330-1500-1500</f>
        <v>40280</v>
      </c>
      <c r="AA29" s="42"/>
      <c r="AB29" s="44"/>
      <c r="AC29" s="42"/>
    </row>
    <row r="30" spans="2:29" ht="21.75" customHeight="1">
      <c r="B30" s="2" t="s">
        <v>2</v>
      </c>
      <c r="C30" s="69">
        <f aca="true" t="shared" si="11" ref="C30:J30">SUM(C27:C29)</f>
        <v>138345</v>
      </c>
      <c r="D30" s="69">
        <f t="shared" si="11"/>
        <v>53271</v>
      </c>
      <c r="E30" s="69">
        <f t="shared" si="11"/>
        <v>53271</v>
      </c>
      <c r="F30" s="69">
        <f t="shared" si="11"/>
        <v>31803</v>
      </c>
      <c r="G30" s="69">
        <f t="shared" si="11"/>
        <v>106542</v>
      </c>
      <c r="H30" s="69">
        <f t="shared" si="11"/>
        <v>0</v>
      </c>
      <c r="I30" s="69">
        <f t="shared" si="11"/>
        <v>0</v>
      </c>
      <c r="J30" s="69">
        <f t="shared" si="11"/>
        <v>0</v>
      </c>
      <c r="K30" s="69">
        <f aca="true" t="shared" si="12" ref="K30:P30">SUM(K27:K29)</f>
        <v>0</v>
      </c>
      <c r="L30" s="69">
        <f t="shared" si="12"/>
        <v>0</v>
      </c>
      <c r="M30" s="69">
        <f t="shared" si="12"/>
        <v>0</v>
      </c>
      <c r="N30" s="69">
        <f t="shared" si="12"/>
        <v>48231</v>
      </c>
      <c r="O30" s="69">
        <f t="shared" si="12"/>
        <v>3840</v>
      </c>
      <c r="P30" s="69">
        <f t="shared" si="12"/>
        <v>960</v>
      </c>
      <c r="Q30" s="69">
        <f aca="true" t="shared" si="13" ref="Q30:Z30">SUM(Q27:Q29)</f>
        <v>0</v>
      </c>
      <c r="R30" s="69">
        <f t="shared" si="13"/>
        <v>0</v>
      </c>
      <c r="S30" s="69"/>
      <c r="T30" s="69">
        <f t="shared" si="13"/>
        <v>0</v>
      </c>
      <c r="U30" s="69">
        <f t="shared" si="13"/>
        <v>29164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>
        <f t="shared" si="13"/>
        <v>82195</v>
      </c>
      <c r="Z30" s="69">
        <f t="shared" si="13"/>
        <v>56150</v>
      </c>
      <c r="AA30" s="93"/>
      <c r="AB30" s="31"/>
      <c r="AC30" s="42"/>
    </row>
    <row r="31" spans="2:29" ht="21.75" customHeight="1">
      <c r="B31" s="15" t="s">
        <v>30</v>
      </c>
      <c r="C31" s="114">
        <f>SUM(D31:F31)</f>
        <v>16397</v>
      </c>
      <c r="D31" s="107">
        <v>8024</v>
      </c>
      <c r="E31" s="107">
        <v>8024</v>
      </c>
      <c r="F31" s="107">
        <v>349</v>
      </c>
      <c r="G31" s="59">
        <f>SUM(D31:E31)</f>
        <v>16048</v>
      </c>
      <c r="H31" s="56"/>
      <c r="I31" s="56"/>
      <c r="J31" s="56"/>
      <c r="K31" s="56"/>
      <c r="L31" s="56"/>
      <c r="M31" s="56"/>
      <c r="N31" s="56">
        <v>960</v>
      </c>
      <c r="O31" s="56"/>
      <c r="P31" s="56">
        <f>1000+2730+1210+480+160+320+1920+1920+1920+1500+1540</f>
        <v>14700</v>
      </c>
      <c r="Q31" s="56"/>
      <c r="R31" s="56"/>
      <c r="S31" s="56"/>
      <c r="T31" s="56"/>
      <c r="U31" s="65"/>
      <c r="V31" s="65"/>
      <c r="W31" s="65"/>
      <c r="X31" s="65"/>
      <c r="Y31" s="79">
        <f t="shared" si="6"/>
        <v>15660</v>
      </c>
      <c r="Z31" s="63">
        <f>C31-Y31</f>
        <v>737</v>
      </c>
      <c r="AA31" s="42">
        <v>1529.48</v>
      </c>
      <c r="AB31" s="44">
        <f>AA31-Z31</f>
        <v>792.48</v>
      </c>
      <c r="AC31" s="42"/>
    </row>
    <row r="32" spans="2:29" ht="21.75" customHeight="1">
      <c r="B32" s="18" t="s">
        <v>29</v>
      </c>
      <c r="C32" s="113">
        <f>SUM(D32:F32)</f>
        <v>15966</v>
      </c>
      <c r="D32" s="108">
        <v>8145</v>
      </c>
      <c r="E32" s="108">
        <v>8145</v>
      </c>
      <c r="F32" s="108">
        <v>-324</v>
      </c>
      <c r="G32" s="59">
        <v>15966</v>
      </c>
      <c r="H32" s="60"/>
      <c r="I32" s="60"/>
      <c r="J32" s="60"/>
      <c r="K32" s="60"/>
      <c r="L32" s="60"/>
      <c r="M32" s="60"/>
      <c r="N32" s="60"/>
      <c r="O32" s="60"/>
      <c r="P32" s="60">
        <f>60+1500+1500+1500+160+800+1820+1060+320+270</f>
        <v>8990</v>
      </c>
      <c r="Q32" s="60"/>
      <c r="R32" s="60"/>
      <c r="S32" s="60"/>
      <c r="T32" s="60"/>
      <c r="U32" s="60"/>
      <c r="V32" s="60"/>
      <c r="W32" s="60"/>
      <c r="X32" s="60"/>
      <c r="Y32" s="61">
        <f t="shared" si="6"/>
        <v>8990</v>
      </c>
      <c r="Z32" s="63">
        <f>C32-Y32</f>
        <v>6976</v>
      </c>
      <c r="AA32" s="42"/>
      <c r="AB32" s="44">
        <v>106</v>
      </c>
      <c r="AC32" s="42"/>
    </row>
    <row r="33" spans="2:29" ht="21.75" customHeight="1">
      <c r="B33" s="2" t="s">
        <v>2</v>
      </c>
      <c r="C33" s="69">
        <f aca="true" t="shared" si="14" ref="C33:P33">SUM(C31:C32)</f>
        <v>32363</v>
      </c>
      <c r="D33" s="69">
        <f t="shared" si="14"/>
        <v>16169</v>
      </c>
      <c r="E33" s="69">
        <f t="shared" si="14"/>
        <v>16169</v>
      </c>
      <c r="F33" s="69">
        <f t="shared" si="14"/>
        <v>25</v>
      </c>
      <c r="G33" s="62">
        <f t="shared" si="14"/>
        <v>32014</v>
      </c>
      <c r="H33" s="62">
        <f t="shared" si="14"/>
        <v>0</v>
      </c>
      <c r="I33" s="62">
        <f t="shared" si="14"/>
        <v>0</v>
      </c>
      <c r="J33" s="62">
        <f t="shared" si="14"/>
        <v>0</v>
      </c>
      <c r="K33" s="62">
        <f t="shared" si="14"/>
        <v>0</v>
      </c>
      <c r="L33" s="62">
        <f t="shared" si="14"/>
        <v>0</v>
      </c>
      <c r="M33" s="62">
        <f t="shared" si="14"/>
        <v>0</v>
      </c>
      <c r="N33" s="62">
        <f t="shared" si="14"/>
        <v>960</v>
      </c>
      <c r="O33" s="62">
        <f t="shared" si="14"/>
        <v>0</v>
      </c>
      <c r="P33" s="62">
        <f t="shared" si="14"/>
        <v>23690</v>
      </c>
      <c r="Q33" s="62">
        <f aca="true" t="shared" si="15" ref="Q33:Z33">SUM(Q31:Q32)</f>
        <v>0</v>
      </c>
      <c r="R33" s="62">
        <f t="shared" si="15"/>
        <v>0</v>
      </c>
      <c r="S33" s="62">
        <f t="shared" si="15"/>
        <v>0</v>
      </c>
      <c r="T33" s="62">
        <f t="shared" si="15"/>
        <v>0</v>
      </c>
      <c r="U33" s="62">
        <f t="shared" si="15"/>
        <v>0</v>
      </c>
      <c r="V33" s="62">
        <f t="shared" si="15"/>
        <v>0</v>
      </c>
      <c r="W33" s="62">
        <f t="shared" si="15"/>
        <v>0</v>
      </c>
      <c r="X33" s="62">
        <f t="shared" si="15"/>
        <v>0</v>
      </c>
      <c r="Y33" s="62">
        <f t="shared" si="15"/>
        <v>24650</v>
      </c>
      <c r="Z33" s="62">
        <f t="shared" si="15"/>
        <v>7713</v>
      </c>
      <c r="AA33" s="93"/>
      <c r="AB33" s="44">
        <f>AB31-AB32</f>
        <v>686.48</v>
      </c>
      <c r="AC33" s="42"/>
    </row>
    <row r="34" spans="2:29" ht="21.75" customHeight="1">
      <c r="B34" s="15" t="s">
        <v>21</v>
      </c>
      <c r="C34" s="114">
        <f>SUM(D34:F34)</f>
        <v>25118</v>
      </c>
      <c r="D34" s="109">
        <v>12528</v>
      </c>
      <c r="E34" s="109">
        <v>12528</v>
      </c>
      <c r="F34" s="109">
        <v>62</v>
      </c>
      <c r="G34" s="59">
        <f>SUM(D34:E34)</f>
        <v>25056</v>
      </c>
      <c r="H34" s="56"/>
      <c r="I34" s="56"/>
      <c r="J34" s="56"/>
      <c r="K34" s="56"/>
      <c r="L34" s="56"/>
      <c r="M34" s="56">
        <f>320+160+480+320+320</f>
        <v>1600</v>
      </c>
      <c r="N34" s="65"/>
      <c r="O34" s="65">
        <v>960</v>
      </c>
      <c r="P34" s="88">
        <f>150+350+150+620+195+300+460+1600+620+460+960+160+320+1685+800+330+1995+190+2270+350+1600+300+1120+1385+782.5+85+330+300</f>
        <v>19867.5</v>
      </c>
      <c r="Q34" s="65"/>
      <c r="R34" s="65"/>
      <c r="S34" s="65"/>
      <c r="T34" s="65"/>
      <c r="U34" s="66"/>
      <c r="V34" s="66"/>
      <c r="W34" s="66"/>
      <c r="X34" s="66"/>
      <c r="Y34" s="89">
        <f t="shared" si="6"/>
        <v>22427.5</v>
      </c>
      <c r="Z34" s="90">
        <f>C34-Y34-225-160-1600-480</f>
        <v>225.5</v>
      </c>
      <c r="AA34" s="42"/>
      <c r="AB34" s="44"/>
      <c r="AC34" s="42"/>
    </row>
    <row r="35" spans="2:29" ht="21.75" customHeight="1">
      <c r="B35" s="16" t="s">
        <v>20</v>
      </c>
      <c r="C35" s="115">
        <f>SUM(D35:F35)</f>
        <v>20511</v>
      </c>
      <c r="D35" s="106">
        <v>9581</v>
      </c>
      <c r="E35" s="106">
        <v>9581</v>
      </c>
      <c r="F35" s="106">
        <v>1349</v>
      </c>
      <c r="G35" s="59">
        <f>SUM(D35:E35)</f>
        <v>19162</v>
      </c>
      <c r="H35" s="59"/>
      <c r="I35" s="59"/>
      <c r="J35" s="59"/>
      <c r="K35" s="59"/>
      <c r="L35" s="59">
        <f>535+2420+1375+2775+1170+1510+400+3590+2965+700+700+350+1050+200+500</f>
        <v>20240</v>
      </c>
      <c r="M35" s="59"/>
      <c r="N35" s="59">
        <f>1550+140+800+150+900+1920+960+1066</f>
        <v>7486</v>
      </c>
      <c r="O35" s="59">
        <f>960+960+960+884</f>
        <v>3764</v>
      </c>
      <c r="P35" s="59"/>
      <c r="Q35" s="59"/>
      <c r="R35" s="59"/>
      <c r="S35" s="59"/>
      <c r="T35" s="59"/>
      <c r="U35" s="59"/>
      <c r="V35" s="59"/>
      <c r="W35" s="59"/>
      <c r="X35" s="59"/>
      <c r="Y35" s="63">
        <f t="shared" si="6"/>
        <v>31490</v>
      </c>
      <c r="Z35" s="63">
        <f>C35-Y35+700+800+350+1050+200+650+900+960+1920+960+960+960+884+1066</f>
        <v>1381</v>
      </c>
      <c r="AA35" s="42"/>
      <c r="AB35" s="44"/>
      <c r="AC35" s="42"/>
    </row>
    <row r="36" spans="2:29" ht="21.75" customHeight="1">
      <c r="B36" s="16" t="s">
        <v>24</v>
      </c>
      <c r="C36" s="115">
        <f>SUM(D36:F36)</f>
        <v>47775</v>
      </c>
      <c r="D36" s="106">
        <v>20781</v>
      </c>
      <c r="E36" s="106">
        <v>20781</v>
      </c>
      <c r="F36" s="106">
        <v>6213</v>
      </c>
      <c r="G36" s="59">
        <f>SUM(D36:E36)</f>
        <v>41562</v>
      </c>
      <c r="H36" s="59"/>
      <c r="I36" s="59"/>
      <c r="J36" s="59">
        <v>1000</v>
      </c>
      <c r="K36" s="59">
        <f>450+450+300+150+300+750+300+150+150+300+900+150+150+900+150+150+150+150+150+150+150+150</f>
        <v>6600</v>
      </c>
      <c r="L36" s="59">
        <f>1395+490+1245+560+1660+1855+310+1895+1050+2940+2940+350+350+350+350+350+500</f>
        <v>18590</v>
      </c>
      <c r="M36" s="59"/>
      <c r="N36" s="59">
        <f>800+50+2170+150+150</f>
        <v>3320</v>
      </c>
      <c r="O36" s="59"/>
      <c r="P36" s="59"/>
      <c r="Q36" s="59"/>
      <c r="R36" s="59"/>
      <c r="S36" s="59"/>
      <c r="T36" s="59">
        <f>310+310+310+310+310+310+140</f>
        <v>2000</v>
      </c>
      <c r="U36" s="59"/>
      <c r="V36" s="59"/>
      <c r="W36" s="59"/>
      <c r="X36" s="59"/>
      <c r="Y36" s="63">
        <f t="shared" si="6"/>
        <v>31510</v>
      </c>
      <c r="Z36" s="63">
        <f>C36-Y36-700-800-350-1050-200-650-900-960-218-1600-150-320-1120-640-960</f>
        <v>5647</v>
      </c>
      <c r="AA36" s="47"/>
      <c r="AB36" s="31"/>
      <c r="AC36" s="47"/>
    </row>
    <row r="37" spans="2:29" ht="21.75" customHeight="1">
      <c r="B37" s="16" t="s">
        <v>23</v>
      </c>
      <c r="C37" s="115">
        <f>SUM(D37:F37)</f>
        <v>47520</v>
      </c>
      <c r="D37" s="106">
        <v>16004</v>
      </c>
      <c r="E37" s="106">
        <v>16004</v>
      </c>
      <c r="F37" s="106">
        <v>15512</v>
      </c>
      <c r="G37" s="59">
        <f>SUM(D37:E37)</f>
        <v>32008</v>
      </c>
      <c r="H37" s="59"/>
      <c r="I37" s="59"/>
      <c r="J37" s="59"/>
      <c r="K37" s="59">
        <f>150+150+150+300+150+150+600+300+150</f>
        <v>2100</v>
      </c>
      <c r="L37" s="59"/>
      <c r="M37" s="59"/>
      <c r="N37" s="59">
        <f>960+100</f>
        <v>1060</v>
      </c>
      <c r="O37" s="59">
        <v>200</v>
      </c>
      <c r="P37" s="59">
        <f>600+950+150+150+320+310+190+34+766+190+150+1100+1600+1600+85+1600+1600+1600+1600+320+1440+640+800+640+960+510</f>
        <v>19905</v>
      </c>
      <c r="Q37" s="59"/>
      <c r="R37" s="59"/>
      <c r="S37" s="59"/>
      <c r="T37" s="59"/>
      <c r="U37" s="59">
        <f>1000+1920+960+1120</f>
        <v>5000</v>
      </c>
      <c r="V37" s="59"/>
      <c r="W37" s="59">
        <v>150</v>
      </c>
      <c r="X37" s="59"/>
      <c r="Y37" s="63">
        <f t="shared" si="6"/>
        <v>28415</v>
      </c>
      <c r="Z37" s="63">
        <f>C37-Y37-1920-960-960-960-884-1066-121+218+150+800+640+960</f>
        <v>15002</v>
      </c>
      <c r="AA37" s="42"/>
      <c r="AB37" s="44"/>
      <c r="AC37" s="42"/>
    </row>
    <row r="38" spans="2:29" ht="21.75" customHeight="1">
      <c r="B38" s="15" t="s">
        <v>22</v>
      </c>
      <c r="C38" s="113">
        <f>SUM(D38:F38)</f>
        <v>42711</v>
      </c>
      <c r="D38" s="104">
        <v>16009</v>
      </c>
      <c r="E38" s="104">
        <v>16009</v>
      </c>
      <c r="F38" s="104">
        <v>10693</v>
      </c>
      <c r="G38" s="59">
        <f>SUM(D38:E38)</f>
        <v>32018</v>
      </c>
      <c r="H38" s="60"/>
      <c r="I38" s="60"/>
      <c r="J38" s="60"/>
      <c r="K38" s="60"/>
      <c r="L38" s="60"/>
      <c r="M38" s="60"/>
      <c r="N38" s="60">
        <v>960</v>
      </c>
      <c r="O38" s="60">
        <v>40</v>
      </c>
      <c r="P38" s="87">
        <f>160+2050+950+1760+170+990+750+255+150+1570+2400+470+150+2725+1600+300+160+245+330+350+130+1300+17.5+225+121+160+3200+1120+320+150</f>
        <v>24278.5</v>
      </c>
      <c r="Q38" s="64"/>
      <c r="R38" s="64"/>
      <c r="S38" s="64"/>
      <c r="T38" s="64"/>
      <c r="U38" s="64">
        <f>10000+2000</f>
        <v>12000</v>
      </c>
      <c r="V38" s="64"/>
      <c r="W38" s="64"/>
      <c r="X38" s="64"/>
      <c r="Y38" s="89">
        <f t="shared" si="6"/>
        <v>37278.5</v>
      </c>
      <c r="Z38" s="91">
        <f>C38-Y38+225+121+160+3200+1120</f>
        <v>10258.5</v>
      </c>
      <c r="AA38" s="42"/>
      <c r="AB38" s="44"/>
      <c r="AC38" s="42"/>
    </row>
    <row r="39" spans="2:29" ht="21.75" customHeight="1">
      <c r="B39" s="2" t="s">
        <v>2</v>
      </c>
      <c r="C39" s="62">
        <f aca="true" t="shared" si="16" ref="C39:P39">SUM(C34:C38)</f>
        <v>183635</v>
      </c>
      <c r="D39" s="62">
        <f t="shared" si="16"/>
        <v>74903</v>
      </c>
      <c r="E39" s="62">
        <f t="shared" si="16"/>
        <v>74903</v>
      </c>
      <c r="F39" s="62">
        <f t="shared" si="16"/>
        <v>33829</v>
      </c>
      <c r="G39" s="62">
        <f t="shared" si="16"/>
        <v>149806</v>
      </c>
      <c r="H39" s="62">
        <f t="shared" si="16"/>
        <v>0</v>
      </c>
      <c r="I39" s="62">
        <f t="shared" si="16"/>
        <v>0</v>
      </c>
      <c r="J39" s="62">
        <f t="shared" si="16"/>
        <v>1000</v>
      </c>
      <c r="K39" s="62">
        <f t="shared" si="16"/>
        <v>8700</v>
      </c>
      <c r="L39" s="62">
        <f t="shared" si="16"/>
        <v>38830</v>
      </c>
      <c r="M39" s="62">
        <f t="shared" si="16"/>
        <v>1600</v>
      </c>
      <c r="N39" s="62">
        <f t="shared" si="16"/>
        <v>12826</v>
      </c>
      <c r="O39" s="62">
        <f t="shared" si="16"/>
        <v>4964</v>
      </c>
      <c r="P39" s="80">
        <f t="shared" si="16"/>
        <v>64051</v>
      </c>
      <c r="Q39" s="62">
        <f aca="true" t="shared" si="17" ref="Q39:Z39">SUM(Q34:Q38)</f>
        <v>0</v>
      </c>
      <c r="R39" s="62">
        <f t="shared" si="17"/>
        <v>0</v>
      </c>
      <c r="S39" s="62">
        <f t="shared" si="17"/>
        <v>0</v>
      </c>
      <c r="T39" s="62">
        <f t="shared" si="17"/>
        <v>2000</v>
      </c>
      <c r="U39" s="62">
        <f>SUM(U37:U38)</f>
        <v>17000</v>
      </c>
      <c r="V39" s="62">
        <f t="shared" si="17"/>
        <v>0</v>
      </c>
      <c r="W39" s="62">
        <f>SUM(W37:W38)</f>
        <v>150</v>
      </c>
      <c r="X39" s="62">
        <f t="shared" si="17"/>
        <v>0</v>
      </c>
      <c r="Y39" s="62">
        <f t="shared" si="17"/>
        <v>151121</v>
      </c>
      <c r="Z39" s="62">
        <f t="shared" si="17"/>
        <v>32514</v>
      </c>
      <c r="AA39" s="93"/>
      <c r="AB39" s="44"/>
      <c r="AC39" s="42"/>
    </row>
    <row r="40" spans="2:29" ht="21.75" customHeight="1">
      <c r="B40" s="15" t="s">
        <v>17</v>
      </c>
      <c r="C40" s="114">
        <f>SUM(D40:F40)</f>
        <v>5801</v>
      </c>
      <c r="D40" s="79">
        <v>2243</v>
      </c>
      <c r="E40" s="79">
        <v>2243</v>
      </c>
      <c r="F40" s="79">
        <v>1315</v>
      </c>
      <c r="G40" s="59">
        <f>SUM(D40:E40)</f>
        <v>4486</v>
      </c>
      <c r="H40" s="56"/>
      <c r="I40" s="56"/>
      <c r="J40" s="56"/>
      <c r="K40" s="56"/>
      <c r="L40" s="56"/>
      <c r="M40" s="56"/>
      <c r="N40" s="56">
        <v>1920</v>
      </c>
      <c r="O40" s="56"/>
      <c r="P40" s="56">
        <v>2021</v>
      </c>
      <c r="Q40" s="56"/>
      <c r="R40" s="56">
        <f>272.5+272.5</f>
        <v>545</v>
      </c>
      <c r="S40" s="56"/>
      <c r="T40" s="56"/>
      <c r="U40" s="55"/>
      <c r="V40" s="55"/>
      <c r="W40" s="55"/>
      <c r="X40" s="55"/>
      <c r="Y40" s="79">
        <f t="shared" si="6"/>
        <v>4486</v>
      </c>
      <c r="Z40" s="63">
        <f>C40-Y40</f>
        <v>1315</v>
      </c>
      <c r="AA40" s="42"/>
      <c r="AB40" s="44"/>
      <c r="AC40" s="42"/>
    </row>
    <row r="41" spans="2:29" ht="21.75" customHeight="1">
      <c r="B41" s="16" t="s">
        <v>18</v>
      </c>
      <c r="C41" s="115">
        <f>SUM(D41:F41)</f>
        <v>6254</v>
      </c>
      <c r="D41" s="63">
        <v>3099</v>
      </c>
      <c r="E41" s="63">
        <v>3099</v>
      </c>
      <c r="F41" s="63">
        <v>56</v>
      </c>
      <c r="G41" s="59">
        <f>SUM(D41:E41)</f>
        <v>6198</v>
      </c>
      <c r="H41" s="59">
        <f>1475+1525</f>
        <v>3000</v>
      </c>
      <c r="I41" s="59"/>
      <c r="J41" s="59"/>
      <c r="K41" s="59"/>
      <c r="L41" s="59"/>
      <c r="M41" s="59"/>
      <c r="N41" s="59">
        <v>3198</v>
      </c>
      <c r="O41" s="59"/>
      <c r="P41" s="59">
        <f>50+330+1080+750+1156+1174</f>
        <v>4540</v>
      </c>
      <c r="Q41" s="59"/>
      <c r="R41" s="59"/>
      <c r="S41" s="59"/>
      <c r="T41" s="59"/>
      <c r="U41" s="59"/>
      <c r="V41" s="59"/>
      <c r="W41" s="59">
        <v>960</v>
      </c>
      <c r="X41" s="59"/>
      <c r="Y41" s="63">
        <f t="shared" si="6"/>
        <v>11698</v>
      </c>
      <c r="Z41" s="63">
        <f>C41-Y41+50+330+2040+750+1156+1174</f>
        <v>56</v>
      </c>
      <c r="AA41" s="42"/>
      <c r="AB41" s="31"/>
      <c r="AC41" s="42"/>
    </row>
    <row r="42" spans="2:29" ht="21.75" customHeight="1">
      <c r="B42" s="16" t="s">
        <v>19</v>
      </c>
      <c r="C42" s="113">
        <f>SUM(D42:F42)</f>
        <v>6554</v>
      </c>
      <c r="D42" s="63">
        <v>3027</v>
      </c>
      <c r="E42" s="63">
        <v>3027</v>
      </c>
      <c r="F42" s="111">
        <v>500</v>
      </c>
      <c r="G42" s="59">
        <f>SUM(D42:E42)</f>
        <v>6054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4"/>
      <c r="V42" s="64"/>
      <c r="W42" s="64"/>
      <c r="X42" s="64"/>
      <c r="Y42" s="79">
        <f t="shared" si="6"/>
        <v>0</v>
      </c>
      <c r="Z42" s="63">
        <f>C42-Y42-50-330-2040-750-1156-1174</f>
        <v>1054</v>
      </c>
      <c r="AA42" s="42"/>
      <c r="AB42" s="44"/>
      <c r="AC42" s="42"/>
    </row>
    <row r="43" spans="2:29" ht="21.75" customHeight="1">
      <c r="B43" s="2" t="s">
        <v>2</v>
      </c>
      <c r="C43" s="62">
        <f aca="true" t="shared" si="18" ref="C43:O43">SUM(C40:C42)</f>
        <v>18609</v>
      </c>
      <c r="D43" s="62">
        <f t="shared" si="18"/>
        <v>8369</v>
      </c>
      <c r="E43" s="62">
        <f t="shared" si="18"/>
        <v>8369</v>
      </c>
      <c r="F43" s="62">
        <f t="shared" si="18"/>
        <v>1871</v>
      </c>
      <c r="G43" s="62">
        <f t="shared" si="18"/>
        <v>16738</v>
      </c>
      <c r="H43" s="62">
        <f t="shared" si="18"/>
        <v>3000</v>
      </c>
      <c r="I43" s="62">
        <f t="shared" si="18"/>
        <v>0</v>
      </c>
      <c r="J43" s="62">
        <f t="shared" si="18"/>
        <v>0</v>
      </c>
      <c r="K43" s="62">
        <f t="shared" si="18"/>
        <v>0</v>
      </c>
      <c r="L43" s="62">
        <f t="shared" si="18"/>
        <v>0</v>
      </c>
      <c r="M43" s="62">
        <f t="shared" si="18"/>
        <v>0</v>
      </c>
      <c r="N43" s="62">
        <f t="shared" si="18"/>
        <v>5118</v>
      </c>
      <c r="O43" s="62">
        <f t="shared" si="18"/>
        <v>0</v>
      </c>
      <c r="P43" s="62">
        <f aca="true" t="shared" si="19" ref="P43:Z43">SUM(P40:P42)</f>
        <v>6561</v>
      </c>
      <c r="Q43" s="62">
        <f t="shared" si="19"/>
        <v>0</v>
      </c>
      <c r="R43" s="62">
        <f t="shared" si="19"/>
        <v>545</v>
      </c>
      <c r="S43" s="62">
        <f t="shared" si="19"/>
        <v>0</v>
      </c>
      <c r="T43" s="62">
        <f t="shared" si="19"/>
        <v>0</v>
      </c>
      <c r="U43" s="62">
        <f t="shared" si="19"/>
        <v>0</v>
      </c>
      <c r="V43" s="62">
        <f t="shared" si="19"/>
        <v>0</v>
      </c>
      <c r="W43" s="62">
        <f t="shared" si="19"/>
        <v>960</v>
      </c>
      <c r="X43" s="62">
        <f>SUM(X40:X42)</f>
        <v>0</v>
      </c>
      <c r="Y43" s="69">
        <f t="shared" si="19"/>
        <v>16184</v>
      </c>
      <c r="Z43" s="69">
        <f t="shared" si="19"/>
        <v>2425</v>
      </c>
      <c r="AA43" s="93"/>
      <c r="AB43" s="44"/>
      <c r="AC43" s="42"/>
    </row>
    <row r="44" spans="2:29" ht="21.75" customHeight="1">
      <c r="B44" s="15" t="s">
        <v>27</v>
      </c>
      <c r="C44" s="114">
        <f>SUM(D44:F44)</f>
        <v>11216</v>
      </c>
      <c r="D44" s="107">
        <v>4860</v>
      </c>
      <c r="E44" s="107">
        <v>4860</v>
      </c>
      <c r="F44" s="107">
        <v>1496</v>
      </c>
      <c r="G44" s="59">
        <f>SUM(D44:E44)</f>
        <v>9720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79">
        <f t="shared" si="6"/>
        <v>0</v>
      </c>
      <c r="Z44" s="58">
        <f>C44-Y44-1920</f>
        <v>9296</v>
      </c>
      <c r="AA44" s="42"/>
      <c r="AB44" s="31"/>
      <c r="AC44" s="42"/>
    </row>
    <row r="45" spans="2:29" ht="21.75" customHeight="1">
      <c r="B45" s="16" t="s">
        <v>26</v>
      </c>
      <c r="C45" s="115">
        <f>SUM(D45:F45)</f>
        <v>4891</v>
      </c>
      <c r="D45" s="106">
        <v>1312</v>
      </c>
      <c r="E45" s="106">
        <v>1312</v>
      </c>
      <c r="F45" s="106">
        <v>2267</v>
      </c>
      <c r="G45" s="59">
        <f>SUM(D45:E45)</f>
        <v>2624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3">
        <f t="shared" si="6"/>
        <v>0</v>
      </c>
      <c r="Z45" s="63">
        <f>C45-Y45-1920</f>
        <v>2971</v>
      </c>
      <c r="AA45" s="42"/>
      <c r="AB45" s="44"/>
      <c r="AC45" s="42"/>
    </row>
    <row r="46" spans="2:29" ht="21.75" customHeight="1">
      <c r="B46" s="16" t="s">
        <v>25</v>
      </c>
      <c r="C46" s="115">
        <f>SUM(D46:F46)</f>
        <v>20617</v>
      </c>
      <c r="D46" s="106">
        <v>7320</v>
      </c>
      <c r="E46" s="106">
        <v>7320</v>
      </c>
      <c r="F46" s="106">
        <v>5977</v>
      </c>
      <c r="G46" s="59">
        <f>SUM(D46:E46)</f>
        <v>14640</v>
      </c>
      <c r="H46" s="59"/>
      <c r="I46" s="59"/>
      <c r="J46" s="59"/>
      <c r="K46" s="59"/>
      <c r="L46" s="59"/>
      <c r="M46" s="59"/>
      <c r="N46" s="59">
        <f>1920+1920+1920+1160+6000+6000+2400+1600+2100+3000</f>
        <v>28020</v>
      </c>
      <c r="O46" s="59">
        <v>3840</v>
      </c>
      <c r="P46" s="59"/>
      <c r="Q46" s="59"/>
      <c r="R46" s="59"/>
      <c r="S46" s="59"/>
      <c r="T46" s="59"/>
      <c r="U46" s="59"/>
      <c r="V46" s="59"/>
      <c r="W46" s="59"/>
      <c r="X46" s="59"/>
      <c r="Y46" s="63">
        <f t="shared" si="6"/>
        <v>31860</v>
      </c>
      <c r="Z46" s="63">
        <f>C46-Y46+1920+1920+1160+6000+2400+1600+2220</f>
        <v>5977</v>
      </c>
      <c r="AA46" s="42"/>
      <c r="AB46" s="44"/>
      <c r="AC46" s="42"/>
    </row>
    <row r="47" spans="2:29" ht="21.75" customHeight="1">
      <c r="B47" s="17" t="s">
        <v>28</v>
      </c>
      <c r="C47" s="113">
        <f>SUM(D47:F47)</f>
        <v>19523</v>
      </c>
      <c r="D47" s="107">
        <v>6863</v>
      </c>
      <c r="E47" s="107">
        <v>6863</v>
      </c>
      <c r="F47" s="107">
        <v>5797</v>
      </c>
      <c r="G47" s="59">
        <f>SUM(D47:E47)</f>
        <v>13726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79">
        <f t="shared" si="6"/>
        <v>0</v>
      </c>
      <c r="Z47" s="61">
        <f>C47-Y47-1160-6000-2400-1600-2220</f>
        <v>6143</v>
      </c>
      <c r="AA47" s="42"/>
      <c r="AB47" s="44"/>
      <c r="AC47" s="42"/>
    </row>
    <row r="48" spans="2:29" ht="21.75" customHeight="1">
      <c r="B48" s="2" t="s">
        <v>2</v>
      </c>
      <c r="C48" s="62">
        <f aca="true" t="shared" si="20" ref="C48:M48">SUM(C44:C47)</f>
        <v>56247</v>
      </c>
      <c r="D48" s="62">
        <f t="shared" si="20"/>
        <v>20355</v>
      </c>
      <c r="E48" s="62">
        <f t="shared" si="20"/>
        <v>20355</v>
      </c>
      <c r="F48" s="62">
        <f t="shared" si="20"/>
        <v>15537</v>
      </c>
      <c r="G48" s="62">
        <f t="shared" si="20"/>
        <v>40710</v>
      </c>
      <c r="H48" s="62">
        <f t="shared" si="20"/>
        <v>0</v>
      </c>
      <c r="I48" s="62">
        <f t="shared" si="20"/>
        <v>0</v>
      </c>
      <c r="J48" s="62">
        <f t="shared" si="20"/>
        <v>0</v>
      </c>
      <c r="K48" s="62">
        <f t="shared" si="20"/>
        <v>0</v>
      </c>
      <c r="L48" s="62">
        <f t="shared" si="20"/>
        <v>0</v>
      </c>
      <c r="M48" s="62">
        <f t="shared" si="20"/>
        <v>0</v>
      </c>
      <c r="N48" s="62">
        <f aca="true" t="shared" si="21" ref="N48:X48">SUM(N44:N47)</f>
        <v>28020</v>
      </c>
      <c r="O48" s="62">
        <f t="shared" si="21"/>
        <v>3840</v>
      </c>
      <c r="P48" s="62">
        <f t="shared" si="21"/>
        <v>0</v>
      </c>
      <c r="Q48" s="62">
        <f t="shared" si="21"/>
        <v>0</v>
      </c>
      <c r="R48" s="62">
        <f t="shared" si="21"/>
        <v>0</v>
      </c>
      <c r="S48" s="62">
        <f t="shared" si="21"/>
        <v>0</v>
      </c>
      <c r="T48" s="62">
        <f t="shared" si="21"/>
        <v>0</v>
      </c>
      <c r="U48" s="62">
        <f t="shared" si="21"/>
        <v>0</v>
      </c>
      <c r="V48" s="62">
        <f t="shared" si="21"/>
        <v>0</v>
      </c>
      <c r="W48" s="62">
        <f t="shared" si="21"/>
        <v>0</v>
      </c>
      <c r="X48" s="62">
        <f t="shared" si="21"/>
        <v>0</v>
      </c>
      <c r="Y48" s="62">
        <f>SUM(Y44:Y47)</f>
        <v>31860</v>
      </c>
      <c r="Z48" s="62">
        <f>SUM(Z44:Z47)</f>
        <v>24387</v>
      </c>
      <c r="AA48" s="93"/>
      <c r="AB48" s="46"/>
      <c r="AC48" s="42"/>
    </row>
    <row r="49" spans="2:29" ht="21.75" customHeight="1">
      <c r="B49" s="16" t="s">
        <v>12</v>
      </c>
      <c r="C49" s="114">
        <f aca="true" t="shared" si="22" ref="C49:C60">SUM(D49:F49)</f>
        <v>12422</v>
      </c>
      <c r="D49" s="110">
        <v>6147</v>
      </c>
      <c r="E49" s="110">
        <v>6147</v>
      </c>
      <c r="F49" s="112">
        <v>128</v>
      </c>
      <c r="G49" s="59">
        <f aca="true" t="shared" si="23" ref="G49:G60">SUM(D49:E49)</f>
        <v>12294</v>
      </c>
      <c r="H49" s="56"/>
      <c r="I49" s="56"/>
      <c r="J49" s="56"/>
      <c r="K49" s="55"/>
      <c r="L49" s="55"/>
      <c r="M49" s="55"/>
      <c r="N49" s="55">
        <v>960</v>
      </c>
      <c r="O49" s="55"/>
      <c r="P49" s="55"/>
      <c r="Q49" s="66"/>
      <c r="R49" s="66"/>
      <c r="S49" s="66"/>
      <c r="T49" s="66"/>
      <c r="U49" s="66"/>
      <c r="V49" s="66">
        <f>800</f>
        <v>800</v>
      </c>
      <c r="W49" s="66">
        <f>800+800+800+800+800+800+1650+1844+800+800+640</f>
        <v>10534</v>
      </c>
      <c r="X49" s="66"/>
      <c r="Y49" s="79">
        <f t="shared" si="6"/>
        <v>12294</v>
      </c>
      <c r="Z49" s="63">
        <f aca="true" t="shared" si="24" ref="Z49:Z60">C49-Y49</f>
        <v>128</v>
      </c>
      <c r="AA49" s="42"/>
      <c r="AB49" s="44"/>
      <c r="AC49" s="42"/>
    </row>
    <row r="50" spans="2:29" ht="21.75" customHeight="1">
      <c r="B50" s="19" t="s">
        <v>3</v>
      </c>
      <c r="C50" s="115">
        <f t="shared" si="22"/>
        <v>14046</v>
      </c>
      <c r="D50" s="66">
        <v>4791</v>
      </c>
      <c r="E50" s="66">
        <v>4791</v>
      </c>
      <c r="F50" s="66">
        <v>4464</v>
      </c>
      <c r="G50" s="59">
        <f t="shared" si="23"/>
        <v>9582</v>
      </c>
      <c r="H50" s="59">
        <v>9582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3">
        <f t="shared" si="6"/>
        <v>9582</v>
      </c>
      <c r="Z50" s="63">
        <f t="shared" si="24"/>
        <v>4464</v>
      </c>
      <c r="AA50" s="42"/>
      <c r="AB50" s="44"/>
      <c r="AC50" s="42"/>
    </row>
    <row r="51" spans="2:29" ht="21.75" customHeight="1">
      <c r="B51" s="16" t="s">
        <v>33</v>
      </c>
      <c r="C51" s="115">
        <f t="shared" si="22"/>
        <v>12185</v>
      </c>
      <c r="D51" s="110">
        <v>5513</v>
      </c>
      <c r="E51" s="110">
        <v>5513</v>
      </c>
      <c r="F51" s="110">
        <v>1159</v>
      </c>
      <c r="G51" s="59">
        <f t="shared" si="23"/>
        <v>11026</v>
      </c>
      <c r="H51" s="59"/>
      <c r="I51" s="59"/>
      <c r="J51" s="59"/>
      <c r="K51" s="59"/>
      <c r="L51" s="59"/>
      <c r="M51" s="59"/>
      <c r="N51" s="59">
        <f>960+960</f>
        <v>1920</v>
      </c>
      <c r="O51" s="59">
        <f>960+800+960</f>
        <v>2720</v>
      </c>
      <c r="P51" s="59"/>
      <c r="Q51" s="59"/>
      <c r="R51" s="59"/>
      <c r="S51" s="59"/>
      <c r="T51" s="59"/>
      <c r="U51" s="59">
        <f>1600+800+2400</f>
        <v>4800</v>
      </c>
      <c r="V51" s="59">
        <f>800+480+306</f>
        <v>1586</v>
      </c>
      <c r="W51" s="59">
        <v>1159</v>
      </c>
      <c r="X51" s="59"/>
      <c r="Y51" s="63">
        <f t="shared" si="6"/>
        <v>12185</v>
      </c>
      <c r="Z51" s="63">
        <f t="shared" si="24"/>
        <v>0</v>
      </c>
      <c r="AA51" s="42"/>
      <c r="AB51" s="44"/>
      <c r="AC51" s="42"/>
    </row>
    <row r="52" spans="2:29" ht="21.75" customHeight="1">
      <c r="B52" s="16" t="s">
        <v>34</v>
      </c>
      <c r="C52" s="115">
        <f t="shared" si="22"/>
        <v>15863</v>
      </c>
      <c r="D52" s="110">
        <v>6688</v>
      </c>
      <c r="E52" s="110">
        <v>6688</v>
      </c>
      <c r="F52" s="110">
        <v>2487</v>
      </c>
      <c r="G52" s="59">
        <f t="shared" si="23"/>
        <v>13376</v>
      </c>
      <c r="H52" s="59"/>
      <c r="I52" s="59"/>
      <c r="J52" s="59"/>
      <c r="K52" s="59"/>
      <c r="L52" s="59"/>
      <c r="M52" s="59"/>
      <c r="N52" s="59"/>
      <c r="O52" s="59">
        <v>800</v>
      </c>
      <c r="P52" s="59">
        <f>380+1180+460+480+480+1810+1480+1430+1550+870</f>
        <v>10120</v>
      </c>
      <c r="Q52" s="59"/>
      <c r="R52" s="59"/>
      <c r="S52" s="59"/>
      <c r="T52" s="59"/>
      <c r="U52" s="59"/>
      <c r="V52" s="59"/>
      <c r="W52" s="59">
        <v>320</v>
      </c>
      <c r="X52" s="59"/>
      <c r="Y52" s="63">
        <f t="shared" si="6"/>
        <v>11240</v>
      </c>
      <c r="Z52" s="63">
        <f t="shared" si="24"/>
        <v>4623</v>
      </c>
      <c r="AA52" s="42"/>
      <c r="AB52" s="44"/>
      <c r="AC52" s="42"/>
    </row>
    <row r="53" spans="2:29" ht="21.75" customHeight="1">
      <c r="B53" s="16" t="s">
        <v>35</v>
      </c>
      <c r="C53" s="115">
        <f t="shared" si="22"/>
        <v>13272</v>
      </c>
      <c r="D53" s="106">
        <v>5691</v>
      </c>
      <c r="E53" s="106">
        <v>5691</v>
      </c>
      <c r="F53" s="106">
        <v>1890</v>
      </c>
      <c r="G53" s="59">
        <f t="shared" si="23"/>
        <v>11382</v>
      </c>
      <c r="H53" s="59"/>
      <c r="I53" s="59"/>
      <c r="J53" s="59"/>
      <c r="K53" s="59"/>
      <c r="L53" s="59"/>
      <c r="M53" s="59"/>
      <c r="N53" s="59"/>
      <c r="O53" s="59">
        <f>800+960+2880+1920+3840+960+22</f>
        <v>11382</v>
      </c>
      <c r="P53" s="59"/>
      <c r="Q53" s="59"/>
      <c r="R53" s="59"/>
      <c r="S53" s="59"/>
      <c r="T53" s="59"/>
      <c r="U53" s="59"/>
      <c r="V53" s="59"/>
      <c r="W53" s="59"/>
      <c r="X53" s="59"/>
      <c r="Y53" s="63">
        <f t="shared" si="6"/>
        <v>11382</v>
      </c>
      <c r="Z53" s="63">
        <f t="shared" si="24"/>
        <v>1890</v>
      </c>
      <c r="AA53" s="42"/>
      <c r="AB53" s="44"/>
      <c r="AC53" s="42"/>
    </row>
    <row r="54" spans="2:29" ht="21.75" customHeight="1">
      <c r="B54" s="16" t="s">
        <v>36</v>
      </c>
      <c r="C54" s="115">
        <f t="shared" si="22"/>
        <v>14195</v>
      </c>
      <c r="D54" s="106">
        <v>5336</v>
      </c>
      <c r="E54" s="106">
        <v>5336</v>
      </c>
      <c r="F54" s="106">
        <v>3523</v>
      </c>
      <c r="G54" s="59">
        <f t="shared" si="23"/>
        <v>10672</v>
      </c>
      <c r="H54" s="59"/>
      <c r="I54" s="59"/>
      <c r="J54" s="59"/>
      <c r="K54" s="59"/>
      <c r="L54" s="59"/>
      <c r="M54" s="59"/>
      <c r="N54" s="59">
        <f>960+960</f>
        <v>1920</v>
      </c>
      <c r="O54" s="59">
        <f>960+800+960</f>
        <v>2720</v>
      </c>
      <c r="P54" s="59">
        <f>330+160+700+700+580+860+276+320+320+700+380+220+220+110+156</f>
        <v>6032</v>
      </c>
      <c r="Q54" s="59"/>
      <c r="R54" s="59"/>
      <c r="S54" s="59"/>
      <c r="T54" s="59"/>
      <c r="U54" s="59"/>
      <c r="V54" s="59"/>
      <c r="W54" s="59"/>
      <c r="X54" s="59"/>
      <c r="Y54" s="63">
        <f t="shared" si="6"/>
        <v>10672</v>
      </c>
      <c r="Z54" s="63">
        <f t="shared" si="24"/>
        <v>3523</v>
      </c>
      <c r="AA54" s="42"/>
      <c r="AB54" s="44"/>
      <c r="AC54" s="42"/>
    </row>
    <row r="55" spans="2:29" ht="21.75" customHeight="1">
      <c r="B55" s="16" t="s">
        <v>37</v>
      </c>
      <c r="C55" s="115">
        <f t="shared" si="22"/>
        <v>8812</v>
      </c>
      <c r="D55" s="106">
        <v>3753</v>
      </c>
      <c r="E55" s="106">
        <v>3753</v>
      </c>
      <c r="F55" s="106">
        <v>1306</v>
      </c>
      <c r="G55" s="59">
        <f t="shared" si="23"/>
        <v>7506</v>
      </c>
      <c r="H55" s="59"/>
      <c r="I55" s="59"/>
      <c r="J55" s="59"/>
      <c r="K55" s="59"/>
      <c r="L55" s="59"/>
      <c r="M55" s="59"/>
      <c r="N55" s="59">
        <v>960</v>
      </c>
      <c r="O55" s="59">
        <f>960</f>
        <v>960</v>
      </c>
      <c r="P55" s="59">
        <f>320+480</f>
        <v>800</v>
      </c>
      <c r="Q55" s="59"/>
      <c r="R55" s="59"/>
      <c r="S55" s="59"/>
      <c r="T55" s="59"/>
      <c r="U55" s="59">
        <f>1920+2866</f>
        <v>4786</v>
      </c>
      <c r="V55" s="59"/>
      <c r="W55" s="59"/>
      <c r="X55" s="59"/>
      <c r="Y55" s="63">
        <f t="shared" si="6"/>
        <v>7506</v>
      </c>
      <c r="Z55" s="63">
        <f t="shared" si="24"/>
        <v>1306</v>
      </c>
      <c r="AA55" s="42"/>
      <c r="AB55" s="44"/>
      <c r="AC55" s="42"/>
    </row>
    <row r="56" spans="2:29" ht="21.75" customHeight="1">
      <c r="B56" s="16" t="s">
        <v>46</v>
      </c>
      <c r="C56" s="115">
        <f t="shared" si="22"/>
        <v>28905</v>
      </c>
      <c r="D56" s="106">
        <v>10635</v>
      </c>
      <c r="E56" s="106">
        <v>10635</v>
      </c>
      <c r="F56" s="106">
        <v>7635</v>
      </c>
      <c r="G56" s="59">
        <f t="shared" si="23"/>
        <v>21270</v>
      </c>
      <c r="H56" s="59"/>
      <c r="I56" s="59"/>
      <c r="J56" s="59"/>
      <c r="K56" s="59"/>
      <c r="L56" s="59"/>
      <c r="M56" s="59"/>
      <c r="N56" s="59">
        <v>960</v>
      </c>
      <c r="O56" s="59">
        <v>960</v>
      </c>
      <c r="P56" s="59">
        <f>1063+330+165+260+3065+465+825+490+960+2250+2580+480+300+820+320+1280</f>
        <v>15653</v>
      </c>
      <c r="Q56" s="59"/>
      <c r="R56" s="59"/>
      <c r="S56" s="59"/>
      <c r="T56" s="59"/>
      <c r="U56" s="59"/>
      <c r="V56" s="59"/>
      <c r="W56" s="59"/>
      <c r="X56" s="59"/>
      <c r="Y56" s="63">
        <f t="shared" si="6"/>
        <v>17573</v>
      </c>
      <c r="Z56" s="63">
        <f t="shared" si="24"/>
        <v>11332</v>
      </c>
      <c r="AA56" s="42"/>
      <c r="AB56" s="44"/>
      <c r="AC56" s="42"/>
    </row>
    <row r="57" spans="2:29" ht="21.75" customHeight="1">
      <c r="B57" s="16" t="s">
        <v>38</v>
      </c>
      <c r="C57" s="115">
        <f t="shared" si="22"/>
        <v>27724</v>
      </c>
      <c r="D57" s="106">
        <v>11537</v>
      </c>
      <c r="E57" s="106">
        <v>11537</v>
      </c>
      <c r="F57" s="106">
        <v>4650</v>
      </c>
      <c r="G57" s="59">
        <f t="shared" si="23"/>
        <v>23074</v>
      </c>
      <c r="H57" s="59"/>
      <c r="I57" s="59"/>
      <c r="J57" s="59"/>
      <c r="K57" s="59"/>
      <c r="L57" s="59"/>
      <c r="M57" s="59"/>
      <c r="N57" s="59">
        <v>960</v>
      </c>
      <c r="O57" s="59"/>
      <c r="P57" s="59">
        <f>640+1600+640+1280+320+320+320+1600+150+750+330+750+750+750+300+300+450</f>
        <v>11250</v>
      </c>
      <c r="Q57" s="59"/>
      <c r="R57" s="59"/>
      <c r="S57" s="59"/>
      <c r="T57" s="59"/>
      <c r="U57" s="59"/>
      <c r="V57" s="59"/>
      <c r="W57" s="59">
        <f>640+490</f>
        <v>1130</v>
      </c>
      <c r="X57" s="59"/>
      <c r="Y57" s="63">
        <f t="shared" si="6"/>
        <v>13340</v>
      </c>
      <c r="Z57" s="63">
        <f t="shared" si="24"/>
        <v>14384</v>
      </c>
      <c r="AA57" s="93"/>
      <c r="AB57" s="44"/>
      <c r="AC57" s="42"/>
    </row>
    <row r="58" spans="2:29" ht="21.75" customHeight="1">
      <c r="B58" s="16" t="s">
        <v>39</v>
      </c>
      <c r="C58" s="115">
        <f t="shared" si="22"/>
        <v>8292</v>
      </c>
      <c r="D58" s="106">
        <v>3247</v>
      </c>
      <c r="E58" s="106">
        <v>3247</v>
      </c>
      <c r="F58" s="106">
        <v>1798</v>
      </c>
      <c r="G58" s="59">
        <f t="shared" si="23"/>
        <v>6494</v>
      </c>
      <c r="H58" s="59"/>
      <c r="I58" s="59"/>
      <c r="J58" s="59"/>
      <c r="K58" s="59"/>
      <c r="L58" s="59">
        <f>160+190+1400+2100-190-160</f>
        <v>3500</v>
      </c>
      <c r="M58" s="59"/>
      <c r="N58" s="59">
        <f>1920</f>
        <v>1920</v>
      </c>
      <c r="O58" s="59"/>
      <c r="P58" s="59">
        <v>114</v>
      </c>
      <c r="Q58" s="59"/>
      <c r="R58" s="59"/>
      <c r="S58" s="59"/>
      <c r="T58" s="59"/>
      <c r="U58" s="59"/>
      <c r="V58" s="59"/>
      <c r="W58" s="59">
        <f>160+130+190+160+320+510</f>
        <v>1470</v>
      </c>
      <c r="X58" s="59"/>
      <c r="Y58" s="63">
        <f t="shared" si="6"/>
        <v>7004</v>
      </c>
      <c r="Z58" s="63">
        <f t="shared" si="24"/>
        <v>1288</v>
      </c>
      <c r="AA58" s="42"/>
      <c r="AB58" s="44"/>
      <c r="AC58" s="42"/>
    </row>
    <row r="59" spans="2:29" ht="21.75" customHeight="1">
      <c r="B59" s="16" t="s">
        <v>41</v>
      </c>
      <c r="C59" s="115">
        <f t="shared" si="22"/>
        <v>14627</v>
      </c>
      <c r="D59" s="106">
        <v>6136</v>
      </c>
      <c r="E59" s="106">
        <v>6136</v>
      </c>
      <c r="F59" s="106">
        <v>2355</v>
      </c>
      <c r="G59" s="59">
        <f t="shared" si="23"/>
        <v>12272</v>
      </c>
      <c r="H59" s="59"/>
      <c r="I59" s="59"/>
      <c r="J59" s="59"/>
      <c r="K59" s="59"/>
      <c r="L59" s="59"/>
      <c r="M59" s="59"/>
      <c r="N59" s="59">
        <f>300+300+300+60</f>
        <v>960</v>
      </c>
      <c r="O59" s="59"/>
      <c r="P59" s="59">
        <f>300+655+500+1050+590+300+590+2390+150+2860+630+37+300+2355</f>
        <v>12707</v>
      </c>
      <c r="Q59" s="59"/>
      <c r="R59" s="59"/>
      <c r="S59" s="59"/>
      <c r="T59" s="59"/>
      <c r="U59" s="59"/>
      <c r="V59" s="59"/>
      <c r="W59" s="59">
        <f>300+490+160+10</f>
        <v>960</v>
      </c>
      <c r="X59" s="59"/>
      <c r="Y59" s="63">
        <f t="shared" si="6"/>
        <v>14627</v>
      </c>
      <c r="Z59" s="63">
        <f t="shared" si="24"/>
        <v>0</v>
      </c>
      <c r="AA59" s="42"/>
      <c r="AB59" s="44"/>
      <c r="AC59" s="42"/>
    </row>
    <row r="60" spans="2:29" ht="21.75" customHeight="1">
      <c r="B60" s="15" t="s">
        <v>42</v>
      </c>
      <c r="C60" s="113">
        <f t="shared" si="22"/>
        <v>16860</v>
      </c>
      <c r="D60" s="107">
        <v>6881</v>
      </c>
      <c r="E60" s="107">
        <v>6881</v>
      </c>
      <c r="F60" s="107">
        <v>3098</v>
      </c>
      <c r="G60" s="59">
        <f t="shared" si="23"/>
        <v>13762</v>
      </c>
      <c r="H60" s="60"/>
      <c r="I60" s="60"/>
      <c r="J60" s="60"/>
      <c r="K60" s="64"/>
      <c r="L60" s="64"/>
      <c r="M60" s="64"/>
      <c r="N60" s="64">
        <v>960</v>
      </c>
      <c r="O60" s="64"/>
      <c r="P60" s="64">
        <f>150+500+1600+1005+1225+3235+582+340+960+670</f>
        <v>10267</v>
      </c>
      <c r="Q60" s="66"/>
      <c r="R60" s="66"/>
      <c r="S60" s="66"/>
      <c r="T60" s="66"/>
      <c r="U60" s="66"/>
      <c r="V60" s="66"/>
      <c r="W60" s="66">
        <f>640+320+2440+100+80</f>
        <v>3580</v>
      </c>
      <c r="X60" s="66"/>
      <c r="Y60" s="79">
        <f t="shared" si="6"/>
        <v>14807</v>
      </c>
      <c r="Z60" s="63">
        <f t="shared" si="24"/>
        <v>2053</v>
      </c>
      <c r="AA60" s="42"/>
      <c r="AB60" s="44"/>
      <c r="AC60" s="42"/>
    </row>
    <row r="61" spans="2:29" ht="21.75" customHeight="1">
      <c r="B61" s="2" t="s">
        <v>2</v>
      </c>
      <c r="C61" s="62">
        <f aca="true" t="shared" si="25" ref="C61:Z61">SUM(C49:C60)</f>
        <v>187203</v>
      </c>
      <c r="D61" s="62">
        <f t="shared" si="25"/>
        <v>76355</v>
      </c>
      <c r="E61" s="62">
        <f t="shared" si="25"/>
        <v>76355</v>
      </c>
      <c r="F61" s="62">
        <f t="shared" si="25"/>
        <v>34493</v>
      </c>
      <c r="G61" s="62">
        <f t="shared" si="25"/>
        <v>152710</v>
      </c>
      <c r="H61" s="62">
        <f t="shared" si="25"/>
        <v>9582</v>
      </c>
      <c r="I61" s="62">
        <f t="shared" si="25"/>
        <v>0</v>
      </c>
      <c r="J61" s="62">
        <f t="shared" si="25"/>
        <v>0</v>
      </c>
      <c r="K61" s="62">
        <f t="shared" si="25"/>
        <v>0</v>
      </c>
      <c r="L61" s="62">
        <f aca="true" t="shared" si="26" ref="L61:T61">SUM(L49:L60)</f>
        <v>3500</v>
      </c>
      <c r="M61" s="62">
        <f t="shared" si="26"/>
        <v>0</v>
      </c>
      <c r="N61" s="62">
        <f t="shared" si="26"/>
        <v>11520</v>
      </c>
      <c r="O61" s="62">
        <f t="shared" si="26"/>
        <v>19542</v>
      </c>
      <c r="P61" s="62">
        <f t="shared" si="26"/>
        <v>66943</v>
      </c>
      <c r="Q61" s="62">
        <f t="shared" si="26"/>
        <v>0</v>
      </c>
      <c r="R61" s="62">
        <f t="shared" si="26"/>
        <v>0</v>
      </c>
      <c r="S61" s="62">
        <f>SUM(S59:S60)</f>
        <v>0</v>
      </c>
      <c r="T61" s="62">
        <f t="shared" si="26"/>
        <v>0</v>
      </c>
      <c r="U61" s="62">
        <f t="shared" si="25"/>
        <v>9586</v>
      </c>
      <c r="V61" s="62">
        <f t="shared" si="25"/>
        <v>2386</v>
      </c>
      <c r="W61" s="62">
        <f t="shared" si="25"/>
        <v>19153</v>
      </c>
      <c r="X61" s="62">
        <f>SUM(X49:X60)</f>
        <v>0</v>
      </c>
      <c r="Y61" s="62">
        <f t="shared" si="25"/>
        <v>142212</v>
      </c>
      <c r="Z61" s="62">
        <f t="shared" si="25"/>
        <v>44991</v>
      </c>
      <c r="AA61" s="93"/>
      <c r="AB61" s="31"/>
      <c r="AC61" s="42"/>
    </row>
    <row r="62" spans="2:29" ht="21.75" customHeight="1">
      <c r="B62" s="16" t="s">
        <v>40</v>
      </c>
      <c r="C62" s="114">
        <f>SUM(D62:F62)</f>
        <v>10406</v>
      </c>
      <c r="D62" s="106">
        <v>6454</v>
      </c>
      <c r="E62" s="106">
        <v>6454</v>
      </c>
      <c r="F62" s="109">
        <v>-2502</v>
      </c>
      <c r="G62" s="55">
        <v>10406</v>
      </c>
      <c r="H62" s="55"/>
      <c r="I62" s="55"/>
      <c r="J62" s="55"/>
      <c r="K62" s="55"/>
      <c r="L62" s="55"/>
      <c r="M62" s="55"/>
      <c r="N62" s="55">
        <v>1920</v>
      </c>
      <c r="O62" s="55"/>
      <c r="P62" s="55"/>
      <c r="Q62" s="55"/>
      <c r="R62" s="55"/>
      <c r="S62" s="55"/>
      <c r="T62" s="55"/>
      <c r="U62" s="55">
        <f>2880+4800+806</f>
        <v>8486</v>
      </c>
      <c r="V62" s="55"/>
      <c r="W62" s="55"/>
      <c r="X62" s="55"/>
      <c r="Y62" s="58">
        <f t="shared" si="6"/>
        <v>10406</v>
      </c>
      <c r="Z62" s="63">
        <f>C62-Y62</f>
        <v>0</v>
      </c>
      <c r="AA62" s="42"/>
      <c r="AB62" s="44"/>
      <c r="AC62" s="42"/>
    </row>
    <row r="63" spans="2:29" ht="21.75" customHeight="1">
      <c r="B63" s="16" t="s">
        <v>45</v>
      </c>
      <c r="C63" s="113">
        <f>SUM(D63:F63)</f>
        <v>16644</v>
      </c>
      <c r="D63" s="106">
        <v>5737</v>
      </c>
      <c r="E63" s="106">
        <v>5737</v>
      </c>
      <c r="F63" s="104">
        <v>5170</v>
      </c>
      <c r="G63" s="59">
        <f>SUM(D63:E63)</f>
        <v>11474</v>
      </c>
      <c r="H63" s="60"/>
      <c r="I63" s="60"/>
      <c r="J63" s="60"/>
      <c r="K63" s="64"/>
      <c r="L63" s="64"/>
      <c r="M63" s="64"/>
      <c r="N63" s="64">
        <f>10+1910</f>
        <v>1920</v>
      </c>
      <c r="O63" s="64"/>
      <c r="P63" s="64"/>
      <c r="Q63" s="64"/>
      <c r="R63" s="64"/>
      <c r="S63" s="64"/>
      <c r="T63" s="64"/>
      <c r="U63" s="64">
        <f>1920+3840+1920+1874</f>
        <v>9554</v>
      </c>
      <c r="V63" s="64"/>
      <c r="W63" s="64"/>
      <c r="X63" s="64"/>
      <c r="Y63" s="79">
        <f t="shared" si="6"/>
        <v>11474</v>
      </c>
      <c r="Z63" s="63">
        <f>C63-Y63</f>
        <v>5170</v>
      </c>
      <c r="AA63" s="42"/>
      <c r="AB63" s="44"/>
      <c r="AC63" s="42"/>
    </row>
    <row r="64" spans="2:29" ht="21.75" customHeight="1">
      <c r="B64" s="2" t="s">
        <v>2</v>
      </c>
      <c r="C64" s="62">
        <f aca="true" t="shared" si="27" ref="C64:Z64">SUM(C62:C63)</f>
        <v>27050</v>
      </c>
      <c r="D64" s="62">
        <f t="shared" si="27"/>
        <v>12191</v>
      </c>
      <c r="E64" s="62">
        <f t="shared" si="27"/>
        <v>12191</v>
      </c>
      <c r="F64" s="62">
        <f t="shared" si="27"/>
        <v>2668</v>
      </c>
      <c r="G64" s="62">
        <f t="shared" si="27"/>
        <v>21880</v>
      </c>
      <c r="H64" s="62">
        <f t="shared" si="27"/>
        <v>0</v>
      </c>
      <c r="I64" s="62">
        <f t="shared" si="27"/>
        <v>0</v>
      </c>
      <c r="J64" s="62">
        <f t="shared" si="27"/>
        <v>0</v>
      </c>
      <c r="K64" s="62">
        <f t="shared" si="27"/>
        <v>0</v>
      </c>
      <c r="L64" s="62">
        <f t="shared" si="27"/>
        <v>0</v>
      </c>
      <c r="M64" s="62">
        <f t="shared" si="27"/>
        <v>0</v>
      </c>
      <c r="N64" s="62">
        <f t="shared" si="27"/>
        <v>3840</v>
      </c>
      <c r="O64" s="62">
        <f t="shared" si="27"/>
        <v>0</v>
      </c>
      <c r="P64" s="62">
        <f t="shared" si="27"/>
        <v>0</v>
      </c>
      <c r="Q64" s="62">
        <f t="shared" si="27"/>
        <v>0</v>
      </c>
      <c r="R64" s="62">
        <f t="shared" si="27"/>
        <v>0</v>
      </c>
      <c r="S64" s="62">
        <f t="shared" si="27"/>
        <v>0</v>
      </c>
      <c r="T64" s="62">
        <f t="shared" si="27"/>
        <v>0</v>
      </c>
      <c r="U64" s="62">
        <f t="shared" si="27"/>
        <v>18040</v>
      </c>
      <c r="V64" s="62">
        <f t="shared" si="27"/>
        <v>0</v>
      </c>
      <c r="W64" s="62">
        <f t="shared" si="27"/>
        <v>0</v>
      </c>
      <c r="X64" s="62">
        <f t="shared" si="27"/>
        <v>0</v>
      </c>
      <c r="Y64" s="62">
        <f t="shared" si="27"/>
        <v>21880</v>
      </c>
      <c r="Z64" s="62">
        <f t="shared" si="27"/>
        <v>5170</v>
      </c>
      <c r="AA64" s="93"/>
      <c r="AB64" s="31"/>
      <c r="AC64" s="42"/>
    </row>
    <row r="65" spans="2:29" ht="21.75" customHeight="1">
      <c r="B65" s="3" t="s">
        <v>0</v>
      </c>
      <c r="C65" s="62">
        <f aca="true" t="shared" si="28" ref="C65:Z65">SUM(C10+C13+C21+C26+C43+C39+C48+C33+C30+C61+C64)</f>
        <v>1000000</v>
      </c>
      <c r="D65" s="62">
        <f t="shared" si="28"/>
        <v>403826</v>
      </c>
      <c r="E65" s="62">
        <f t="shared" si="28"/>
        <v>403826</v>
      </c>
      <c r="F65" s="62">
        <f t="shared" si="28"/>
        <v>192348</v>
      </c>
      <c r="G65" s="62">
        <f t="shared" si="28"/>
        <v>803260</v>
      </c>
      <c r="H65" s="62">
        <f t="shared" si="28"/>
        <v>12582</v>
      </c>
      <c r="I65" s="62">
        <f t="shared" si="28"/>
        <v>3266</v>
      </c>
      <c r="J65" s="62">
        <f t="shared" si="28"/>
        <v>1000</v>
      </c>
      <c r="K65" s="62">
        <f t="shared" si="28"/>
        <v>8700</v>
      </c>
      <c r="L65" s="62">
        <f t="shared" si="28"/>
        <v>44570</v>
      </c>
      <c r="M65" s="62">
        <f t="shared" si="28"/>
        <v>1600</v>
      </c>
      <c r="N65" s="62">
        <f t="shared" si="28"/>
        <v>159179</v>
      </c>
      <c r="O65" s="62">
        <f t="shared" si="28"/>
        <v>47326</v>
      </c>
      <c r="P65" s="69">
        <f t="shared" si="28"/>
        <v>277347</v>
      </c>
      <c r="Q65" s="62">
        <f t="shared" si="28"/>
        <v>7680</v>
      </c>
      <c r="R65" s="62">
        <f t="shared" si="28"/>
        <v>545</v>
      </c>
      <c r="S65" s="62">
        <f t="shared" si="28"/>
        <v>1230</v>
      </c>
      <c r="T65" s="62">
        <f t="shared" si="28"/>
        <v>2000</v>
      </c>
      <c r="U65" s="69">
        <f t="shared" si="28"/>
        <v>105762</v>
      </c>
      <c r="V65" s="69">
        <f t="shared" si="28"/>
        <v>2386</v>
      </c>
      <c r="W65" s="69">
        <f t="shared" si="28"/>
        <v>22538</v>
      </c>
      <c r="X65" s="69">
        <f t="shared" si="28"/>
        <v>2550</v>
      </c>
      <c r="Y65" s="69">
        <f t="shared" si="28"/>
        <v>700261</v>
      </c>
      <c r="Z65" s="69">
        <f t="shared" si="28"/>
        <v>299739</v>
      </c>
      <c r="AA65" s="31"/>
      <c r="AB65" s="31"/>
      <c r="AC65" s="31"/>
    </row>
    <row r="66" spans="2:28" ht="21.75" customHeight="1">
      <c r="B66" s="12"/>
      <c r="C66" s="12"/>
      <c r="D66" s="5"/>
      <c r="E66" s="5"/>
      <c r="F66" s="5"/>
      <c r="G66" s="5"/>
      <c r="H66" s="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71"/>
      <c r="Z66" s="77"/>
      <c r="AA66" s="92"/>
      <c r="AB66" s="30"/>
    </row>
    <row r="67" spans="2:28" ht="21.75" customHeight="1">
      <c r="B67" s="6"/>
      <c r="C67" s="6"/>
      <c r="D67" s="4"/>
      <c r="E67" s="4"/>
      <c r="F67" s="4"/>
      <c r="G67" s="20"/>
      <c r="H67" s="70"/>
      <c r="I67" s="7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8" t="s">
        <v>78</v>
      </c>
      <c r="Z67" s="77"/>
      <c r="AA67" s="92"/>
      <c r="AB67" s="30"/>
    </row>
    <row r="68" spans="2:27" ht="21.75" customHeight="1">
      <c r="B68" s="11"/>
      <c r="C68" s="102"/>
      <c r="D68" s="4"/>
      <c r="E68" s="4"/>
      <c r="F68" s="4"/>
      <c r="G68" s="20"/>
      <c r="H68" s="1"/>
      <c r="I68" s="7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81"/>
      <c r="Z68" s="25"/>
      <c r="AA68" s="31"/>
    </row>
    <row r="69" spans="7:27" ht="21.75" customHeight="1">
      <c r="G69" s="30"/>
      <c r="I69" s="35"/>
      <c r="Y69" s="75"/>
      <c r="Z69" s="38"/>
      <c r="AA69" s="92"/>
    </row>
    <row r="70" spans="9:27" ht="21.75" customHeight="1">
      <c r="I70" s="83"/>
      <c r="M70" s="53"/>
      <c r="N70" s="53"/>
      <c r="O70" s="53"/>
      <c r="P70" s="53"/>
      <c r="Q70" s="53"/>
      <c r="R70" s="53"/>
      <c r="S70" s="53"/>
      <c r="T70" s="53" t="s">
        <v>57</v>
      </c>
      <c r="U70" s="53"/>
      <c r="V70" s="53"/>
      <c r="W70" s="53"/>
      <c r="X70" s="53"/>
      <c r="Y70" s="27"/>
      <c r="AA70" s="92"/>
    </row>
    <row r="71" spans="13:27" ht="21.75" customHeight="1">
      <c r="M71" s="53"/>
      <c r="N71" s="53"/>
      <c r="O71" s="53"/>
      <c r="P71" s="53"/>
      <c r="Q71" s="53"/>
      <c r="R71" s="53"/>
      <c r="S71" s="53"/>
      <c r="T71" s="53" t="s">
        <v>54</v>
      </c>
      <c r="U71" s="53"/>
      <c r="V71" s="53"/>
      <c r="W71" s="53"/>
      <c r="X71" s="53"/>
      <c r="Y71" s="27"/>
      <c r="AA71" s="92"/>
    </row>
    <row r="72" ht="21.75" customHeight="1">
      <c r="AA72" s="46"/>
    </row>
    <row r="73" ht="21.75" customHeight="1">
      <c r="AA73" s="92"/>
    </row>
    <row r="74" ht="21.75" customHeight="1">
      <c r="AA74" s="92"/>
    </row>
    <row r="75" ht="21.75" customHeight="1">
      <c r="AA75" s="92"/>
    </row>
    <row r="76" ht="21.75" customHeight="1">
      <c r="AA76" s="92"/>
    </row>
    <row r="77" ht="21.75" customHeight="1">
      <c r="AA77" s="92"/>
    </row>
    <row r="78" ht="21.75" customHeight="1">
      <c r="AA78" s="92"/>
    </row>
    <row r="79" ht="21.75" customHeight="1">
      <c r="AA79" s="92"/>
    </row>
    <row r="80" ht="21.75" customHeight="1">
      <c r="AA80" s="92"/>
    </row>
    <row r="81" ht="23.25">
      <c r="AA81" s="92"/>
    </row>
    <row r="82" ht="23.25">
      <c r="AA82" s="92"/>
    </row>
    <row r="83" ht="23.25">
      <c r="AA83" s="92"/>
    </row>
    <row r="84" ht="23.25">
      <c r="AA84" s="92"/>
    </row>
    <row r="85" ht="23.25">
      <c r="AA85" s="31"/>
    </row>
    <row r="86" ht="23.25">
      <c r="AA86" s="92"/>
    </row>
    <row r="87" ht="23.25">
      <c r="AA87" s="92"/>
    </row>
    <row r="88" ht="23.25">
      <c r="AA88" s="31"/>
    </row>
    <row r="89" ht="23.25">
      <c r="AA89" s="31"/>
    </row>
    <row r="90" ht="21.75">
      <c r="AA90" s="42"/>
    </row>
    <row r="91" ht="21.75">
      <c r="AA91" s="42"/>
    </row>
    <row r="92" ht="21.75">
      <c r="AA92" s="42"/>
    </row>
    <row r="93" ht="21.75">
      <c r="AA93" s="42"/>
    </row>
    <row r="94" ht="21.75">
      <c r="AA94" s="42"/>
    </row>
    <row r="95" ht="21.75">
      <c r="AA95" s="42"/>
    </row>
  </sheetData>
  <sheetProtection/>
  <mergeCells count="5">
    <mergeCell ref="B6:B7"/>
    <mergeCell ref="B2:H2"/>
    <mergeCell ref="G3:Y3"/>
    <mergeCell ref="G4:Y4"/>
    <mergeCell ref="H6:T6"/>
  </mergeCells>
  <printOptions/>
  <pageMargins left="0.2362204724409449" right="0.2362204724409449" top="0.4330708661417323" bottom="1.57" header="0.4330708661417323" footer="1.52"/>
  <pageSetup horizontalDpi="600" verticalDpi="600" orientation="landscape" paperSize="9" scale="7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2010-12-17T02:17:25Z</cp:lastPrinted>
  <dcterms:created xsi:type="dcterms:W3CDTF">2000-05-16T04:16:56Z</dcterms:created>
  <dcterms:modified xsi:type="dcterms:W3CDTF">2010-12-17T02:17:39Z</dcterms:modified>
  <cp:category/>
  <cp:version/>
  <cp:contentType/>
  <cp:contentStatus/>
</cp:coreProperties>
</file>