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พิเศษงวด51-52" sheetId="1" r:id="rId1"/>
  </sheets>
  <definedNames>
    <definedName name="_xlnm.Print_Area" localSheetId="0">'พิเศษงวด51-52'!$B$3:$U$71</definedName>
    <definedName name="_xlnm.Print_Titles" localSheetId="0">'พิเศษงวด51-52'!$5:$7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0"/>
          </rPr>
          <t>Nova: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<sst xmlns="http://schemas.openxmlformats.org/spreadsheetml/2006/main" count="95" uniqueCount="85">
  <si>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</si>
  <si>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</si>
  <si>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</si>
  <si>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</si>
  <si>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</si>
  <si>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</si>
  <si>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</si>
  <si>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</si>
  <si>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</si>
  <si>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</si>
  <si>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</si>
  <si>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</si>
  <si>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</si>
  <si>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</si>
  <si>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</si>
  <si>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</si>
  <si>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</si>
  <si>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</si>
  <si>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</si>
  <si>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</si>
  <si>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</si>
  <si>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</si>
  <si>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</si>
  <si>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</si>
  <si>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</si>
  <si>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</si>
  <si>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</si>
  <si>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</si>
  <si>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</si>
  <si>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</si>
  <si>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</si>
  <si>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</si>
  <si>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</si>
  <si>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</si>
  <si>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</si>
  <si>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</si>
  <si>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</si>
  <si>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</si>
  <si>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</si>
  <si>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</si>
  <si>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</si>
  <si>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</si>
  <si>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</si>
  <si>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</si>
  <si>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</si>
  <si>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</si>
  <si>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</si>
  <si>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</si>
  <si>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</si>
  <si>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</si>
  <si>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</si>
  <si>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</si>
  <si>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</si>
  <si>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</si>
  <si>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>บ.จึงใจ้หมง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</si>
  <si>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</si>
  <si>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</si>
  <si>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</si>
  <si>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</si>
  <si>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ร้อยเอ็ดไฮเปอร์</t>
  </si>
  <si>
    <t>พาณิชย์จังหวัด</t>
  </si>
  <si>
    <t>ชัยดีเวลล็อป</t>
  </si>
  <si>
    <t>ณัฎฐนนท์</t>
  </si>
  <si>
    <t>หมายเหตุ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</si>
  <si>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</si>
  <si>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</si>
  <si>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</si>
  <si>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</si>
  <si>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</si>
  <si>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</si>
  <si>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งวด 51 และงวด 52   ที่กระทรวงพาณิชย์เป็นผู้บริหารจัดการ</t>
  </si>
  <si>
    <t>1 ล้านกระสอบ</t>
  </si>
  <si>
    <t>สิงห์บุรี ตัดโควตา มิตรผล จำนวน 3,550 กส.</t>
  </si>
  <si>
    <t>หน่วย 100 กก./กส.</t>
  </si>
  <si>
    <t>ที.เอ.ซี คอน</t>
  </si>
  <si>
    <t>เอ.ที.ดับบลิว</t>
  </si>
  <si>
    <t>สุรินทร์ ตัดโควตา โคราช  จำนวน  1,920 กส.</t>
  </si>
  <si>
    <t>รวมโควตา</t>
  </si>
  <si>
    <t>พณ. 2 งวด</t>
  </si>
  <si>
    <t>นางรัตนากร</t>
  </si>
  <si>
    <t>การจำหน่าย</t>
  </si>
  <si>
    <t>รวมปริมาณ</t>
  </si>
  <si>
    <t>ไทยเอกฯ ตัดโควตา เกษตรไทย จำนวน 2,680 กส.</t>
  </si>
  <si>
    <t>ค้างกระดาน</t>
  </si>
  <si>
    <t xml:space="preserve"> ปริมาณการจำหน่าย  ตั้งแต่วันที่   31/4/53  -  7/07/53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</si>
</sst>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</numFmts>
  <fonts count="1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3" fontId="3" fillId="0" borderId="0" xfId="17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>
      <alignment vertical="center"/>
    </xf>
    <xf numFmtId="9" fontId="2" fillId="0" borderId="3" xfId="0" applyNumberFormat="1" applyFont="1" applyBorder="1" applyAlignment="1" applyProtection="1">
      <alignment horizontal="center" vertical="center"/>
      <protection/>
    </xf>
    <xf numFmtId="14" fontId="2" fillId="0" borderId="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3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>
      <alignment/>
    </xf>
    <xf numFmtId="199" fontId="9" fillId="0" borderId="8" xfId="0" applyNumberFormat="1" applyFont="1" applyBorder="1" applyAlignment="1" applyProtection="1">
      <alignment/>
      <protection/>
    </xf>
    <xf numFmtId="199" fontId="3" fillId="0" borderId="12" xfId="0" applyNumberFormat="1" applyFont="1" applyBorder="1" applyAlignment="1" applyProtection="1">
      <alignment/>
      <protection/>
    </xf>
    <xf numFmtId="199" fontId="3" fillId="0" borderId="13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 applyProtection="1">
      <alignment/>
      <protection/>
    </xf>
    <xf numFmtId="199" fontId="9" fillId="0" borderId="7" xfId="0" applyNumberFormat="1" applyFont="1" applyBorder="1" applyAlignment="1" applyProtection="1">
      <alignment/>
      <protection/>
    </xf>
    <xf numFmtId="199" fontId="9" fillId="0" borderId="7" xfId="17" applyNumberFormat="1" applyFont="1" applyBorder="1" applyAlignment="1">
      <alignment/>
    </xf>
    <xf numFmtId="199" fontId="9" fillId="0" borderId="7" xfId="0" applyNumberFormat="1" applyFont="1" applyBorder="1" applyAlignment="1">
      <alignment/>
    </xf>
    <xf numFmtId="199" fontId="9" fillId="0" borderId="14" xfId="0" applyNumberFormat="1" applyFont="1" applyBorder="1" applyAlignment="1" applyProtection="1">
      <alignment/>
      <protection/>
    </xf>
    <xf numFmtId="199" fontId="9" fillId="0" borderId="14" xfId="0" applyNumberFormat="1" applyFont="1" applyBorder="1" applyAlignment="1">
      <alignment/>
    </xf>
    <xf numFmtId="199" fontId="9" fillId="0" borderId="15" xfId="0" applyNumberFormat="1" applyFont="1" applyBorder="1" applyAlignment="1" applyProtection="1">
      <alignment/>
      <protection/>
    </xf>
    <xf numFmtId="199" fontId="9" fillId="0" borderId="9" xfId="0" applyNumberFormat="1" applyFont="1" applyBorder="1" applyAlignment="1" applyProtection="1">
      <alignment/>
      <protection/>
    </xf>
    <xf numFmtId="199" fontId="3" fillId="0" borderId="13" xfId="17" applyNumberFormat="1" applyFont="1" applyBorder="1" applyAlignment="1" applyProtection="1">
      <alignment/>
      <protection/>
    </xf>
    <xf numFmtId="199" fontId="9" fillId="0" borderId="15" xfId="17" applyNumberFormat="1" applyFont="1" applyBorder="1" applyAlignment="1">
      <alignment/>
    </xf>
    <xf numFmtId="199" fontId="9" fillId="0" borderId="7" xfId="17" applyNumberFormat="1" applyFont="1" applyBorder="1" applyAlignment="1" applyProtection="1">
      <alignment/>
      <protection/>
    </xf>
    <xf numFmtId="199" fontId="9" fillId="0" borderId="14" xfId="17" applyNumberFormat="1" applyFont="1" applyBorder="1" applyAlignment="1">
      <alignment/>
    </xf>
    <xf numFmtId="0" fontId="1" fillId="0" borderId="3" xfId="0" applyFont="1" applyBorder="1" applyAlignment="1">
      <alignment/>
    </xf>
    <xf numFmtId="199" fontId="9" fillId="0" borderId="8" xfId="17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13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left" vertical="center"/>
      <protection/>
    </xf>
    <xf numFmtId="9" fontId="10" fillId="0" borderId="12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199" fontId="9" fillId="0" borderId="8" xfId="0" applyNumberFormat="1" applyFont="1" applyBorder="1" applyAlignment="1">
      <alignment/>
    </xf>
    <xf numFmtId="199" fontId="9" fillId="0" borderId="15" xfId="17" applyNumberFormat="1" applyFont="1" applyBorder="1" applyAlignment="1" applyProtection="1">
      <alignment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17" applyNumberFormat="1" applyBorder="1" applyAlignment="1">
      <alignment/>
    </xf>
    <xf numFmtId="199" fontId="0" fillId="0" borderId="0" xfId="17" applyNumberFormat="1" applyBorder="1" applyAlignment="1">
      <alignment/>
    </xf>
    <xf numFmtId="43" fontId="0" fillId="0" borderId="0" xfId="17" applyBorder="1" applyAlignment="1">
      <alignment/>
    </xf>
    <xf numFmtId="199" fontId="3" fillId="0" borderId="0" xfId="17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9" fontId="9" fillId="0" borderId="12" xfId="0" applyNumberFormat="1" applyFont="1" applyBorder="1" applyAlignment="1" applyProtection="1">
      <alignment horizontal="left"/>
      <protection/>
    </xf>
    <xf numFmtId="199" fontId="9" fillId="0" borderId="16" xfId="0" applyNumberFormat="1" applyFont="1" applyBorder="1" applyAlignment="1" applyProtection="1">
      <alignment horizontal="left"/>
      <protection/>
    </xf>
    <xf numFmtId="199" fontId="9" fillId="0" borderId="14" xfId="0" applyNumberFormat="1" applyFont="1" applyBorder="1" applyAlignment="1" applyProtection="1">
      <alignment horizontal="left"/>
      <protection/>
    </xf>
    <xf numFmtId="199" fontId="0" fillId="0" borderId="0" xfId="17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7" applyAlignment="1">
      <alignment/>
    </xf>
    <xf numFmtId="9" fontId="2" fillId="0" borderId="16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199" fontId="1" fillId="0" borderId="15" xfId="17" applyNumberFormat="1" applyFont="1" applyBorder="1" applyAlignment="1">
      <alignment/>
    </xf>
    <xf numFmtId="199" fontId="1" fillId="0" borderId="11" xfId="17" applyNumberFormat="1" applyFont="1" applyBorder="1" applyAlignment="1">
      <alignment/>
    </xf>
    <xf numFmtId="199" fontId="1" fillId="0" borderId="12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1" fillId="0" borderId="7" xfId="17" applyNumberFormat="1" applyFont="1" applyBorder="1" applyAlignment="1">
      <alignment/>
    </xf>
    <xf numFmtId="199" fontId="1" fillId="0" borderId="9" xfId="17" applyNumberFormat="1" applyFont="1" applyBorder="1" applyAlignment="1">
      <alignment/>
    </xf>
    <xf numFmtId="199" fontId="1" fillId="0" borderId="15" xfId="0" applyNumberFormat="1" applyFont="1" applyBorder="1" applyAlignment="1">
      <alignment/>
    </xf>
    <xf numFmtId="199" fontId="1" fillId="0" borderId="9" xfId="0" applyNumberFormat="1" applyFont="1" applyBorder="1" applyAlignment="1">
      <alignment/>
    </xf>
    <xf numFmtId="199" fontId="2" fillId="0" borderId="13" xfId="0" applyNumberFormat="1" applyFont="1" applyBorder="1" applyAlignment="1" applyProtection="1">
      <alignment/>
      <protection/>
    </xf>
    <xf numFmtId="199" fontId="2" fillId="0" borderId="16" xfId="0" applyNumberFormat="1" applyFont="1" applyBorder="1" applyAlignment="1" applyProtection="1">
      <alignment/>
      <protection/>
    </xf>
    <xf numFmtId="199" fontId="1" fillId="0" borderId="7" xfId="0" applyNumberFormat="1" applyFont="1" applyBorder="1" applyAlignment="1">
      <alignment/>
    </xf>
    <xf numFmtId="199" fontId="1" fillId="0" borderId="8" xfId="17" applyNumberFormat="1" applyFont="1" applyBorder="1" applyAlignment="1">
      <alignment/>
    </xf>
    <xf numFmtId="199" fontId="1" fillId="0" borderId="12" xfId="17" applyNumberFormat="1" applyFont="1" applyBorder="1" applyAlignment="1">
      <alignment/>
    </xf>
    <xf numFmtId="199" fontId="1" fillId="0" borderId="14" xfId="17" applyNumberFormat="1" applyFont="1" applyBorder="1" applyAlignment="1">
      <alignment/>
    </xf>
    <xf numFmtId="199" fontId="1" fillId="0" borderId="14" xfId="0" applyNumberFormat="1" applyFont="1" applyBorder="1" applyAlignment="1">
      <alignment/>
    </xf>
    <xf numFmtId="199" fontId="1" fillId="0" borderId="16" xfId="17" applyNumberFormat="1" applyFont="1" applyBorder="1" applyAlignment="1">
      <alignment/>
    </xf>
    <xf numFmtId="199" fontId="1" fillId="0" borderId="16" xfId="0" applyNumberFormat="1" applyFont="1" applyBorder="1" applyAlignment="1">
      <alignment/>
    </xf>
    <xf numFmtId="199" fontId="2" fillId="0" borderId="13" xfId="17" applyNumberFormat="1" applyFont="1" applyBorder="1" applyAlignment="1" applyProtection="1">
      <alignment/>
      <protection/>
    </xf>
    <xf numFmtId="43" fontId="1" fillId="0" borderId="11" xfId="17" applyFont="1" applyBorder="1" applyAlignment="1">
      <alignment/>
    </xf>
    <xf numFmtId="43" fontId="1" fillId="0" borderId="7" xfId="17" applyFont="1" applyBorder="1" applyAlignment="1">
      <alignment/>
    </xf>
    <xf numFmtId="43" fontId="2" fillId="0" borderId="13" xfId="0" applyNumberFormat="1" applyFont="1" applyBorder="1" applyAlignment="1" applyProtection="1">
      <alignment/>
      <protection/>
    </xf>
    <xf numFmtId="43" fontId="2" fillId="0" borderId="13" xfId="17" applyFont="1" applyBorder="1" applyAlignment="1" applyProtection="1">
      <alignment/>
      <protection/>
    </xf>
    <xf numFmtId="199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2" fillId="0" borderId="0" xfId="17" applyFont="1" applyBorder="1" applyAlignment="1">
      <alignment/>
    </xf>
    <xf numFmtId="43" fontId="1" fillId="0" borderId="0" xfId="0" applyNumberFormat="1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3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71"/>
  <sheetViews>
    <sheetView tabSelected="1" workbookViewId="0" topLeftCell="A3">
      <pane xSplit="7" ySplit="5" topLeftCell="M8" activePane="bottomRight" state="frozen"/>
      <selection pane="topLeft" activeCell="A3" sqref="A3"/>
      <selection pane="topRight" activeCell="H3" sqref="H3"/>
      <selection pane="bottomLeft" activeCell="A8" sqref="A8"/>
      <selection pane="bottomRight" activeCell="V67" sqref="V67:V69"/>
    </sheetView>
  </sheetViews>
  <sheetFormatPr defaultColWidth="9.140625" defaultRowHeight="21.75"/>
  <cols>
    <col min="1" max="1" width="4.00390625" style="0" customWidth="1"/>
    <col min="2" max="2" width="33.140625" style="0" customWidth="1"/>
    <col min="3" max="3" width="11.421875" style="0" hidden="1" customWidth="1"/>
    <col min="4" max="4" width="8.7109375" style="0" hidden="1" customWidth="1"/>
    <col min="5" max="5" width="8.57421875" style="0" hidden="1" customWidth="1"/>
    <col min="6" max="6" width="8.8515625" style="0" hidden="1" customWidth="1"/>
    <col min="7" max="7" width="9.57421875" style="0" customWidth="1"/>
    <col min="8" max="8" width="8.140625" style="0" customWidth="1"/>
    <col min="9" max="9" width="8.28125" style="0" customWidth="1"/>
    <col min="10" max="10" width="8.57421875" style="0" customWidth="1"/>
    <col min="11" max="11" width="9.421875" style="0" customWidth="1"/>
    <col min="12" max="12" width="8.421875" style="0" customWidth="1"/>
    <col min="13" max="13" width="9.7109375" style="0" customWidth="1"/>
    <col min="14" max="14" width="8.7109375" style="0" customWidth="1"/>
    <col min="15" max="15" width="7.57421875" style="0" customWidth="1"/>
    <col min="16" max="19" width="7.8515625" style="0" customWidth="1"/>
    <col min="20" max="20" width="11.57421875" style="0" customWidth="1"/>
    <col min="21" max="21" width="11.28125" style="0" customWidth="1"/>
    <col min="22" max="22" width="11.00390625" style="0" customWidth="1"/>
    <col min="23" max="23" width="11.00390625" style="0" bestFit="1" customWidth="1"/>
    <col min="24" max="24" width="10.57421875" style="0" customWidth="1"/>
    <col min="25" max="25" width="11.28125" style="0" bestFit="1" customWidth="1"/>
  </cols>
  <sheetData>
    <row r="2" spans="2:20" ht="23.25">
      <c r="B2" s="113"/>
      <c r="C2" s="113"/>
      <c r="D2" s="113"/>
      <c r="E2" s="113"/>
      <c r="F2" s="113"/>
      <c r="G2" s="113"/>
      <c r="H2" s="11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3:30" ht="21.75" customHeight="1">
      <c r="C3" s="7"/>
      <c r="D3" s="7"/>
      <c r="E3" s="7"/>
      <c r="F3" s="7"/>
      <c r="G3" s="114" t="s">
        <v>43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22"/>
      <c r="W3" s="7"/>
      <c r="X3" s="7"/>
      <c r="Y3" s="44"/>
      <c r="Z3" s="44"/>
      <c r="AA3" s="44"/>
      <c r="AB3" s="44"/>
      <c r="AC3" s="44"/>
      <c r="AD3" s="44"/>
    </row>
    <row r="4" spans="3:30" ht="21.75" customHeight="1">
      <c r="C4" s="7"/>
      <c r="D4" s="7"/>
      <c r="E4" s="7"/>
      <c r="F4" s="7"/>
      <c r="G4" s="113" t="s">
        <v>70</v>
      </c>
      <c r="H4" s="113"/>
      <c r="I4" s="113"/>
      <c r="J4" s="113"/>
      <c r="K4" s="113"/>
      <c r="L4" s="110"/>
      <c r="M4" s="110"/>
      <c r="N4" s="110"/>
      <c r="O4" s="110"/>
      <c r="P4" s="110"/>
      <c r="Q4" s="110"/>
      <c r="R4" s="110"/>
      <c r="S4" s="110"/>
      <c r="T4" s="110"/>
      <c r="U4" s="22"/>
      <c r="W4" s="7"/>
      <c r="X4" s="7"/>
      <c r="Y4" s="7"/>
      <c r="Z4" s="7"/>
      <c r="AA4" s="7"/>
      <c r="AB4" s="7"/>
      <c r="AC4" s="7"/>
      <c r="AD4" s="45"/>
    </row>
    <row r="5" spans="2:27" ht="21.75" customHeight="1">
      <c r="B5" s="8"/>
      <c r="C5" s="8"/>
      <c r="D5" s="9"/>
      <c r="E5" s="10"/>
      <c r="F5" s="10"/>
      <c r="G5" s="10"/>
      <c r="H5" s="21"/>
      <c r="I5" s="23"/>
      <c r="J5" s="42"/>
      <c r="K5" s="42"/>
      <c r="Q5" s="73"/>
      <c r="R5" s="73"/>
      <c r="S5" s="73" t="s">
        <v>73</v>
      </c>
      <c r="T5" s="74"/>
      <c r="U5" s="24"/>
      <c r="W5" s="75"/>
      <c r="X5" s="75"/>
      <c r="Y5" s="75"/>
      <c r="Z5" s="75"/>
      <c r="AA5" s="75"/>
    </row>
    <row r="6" spans="2:27" ht="21.75" customHeight="1">
      <c r="B6" s="111" t="s">
        <v>1</v>
      </c>
      <c r="C6" s="68" t="s">
        <v>69</v>
      </c>
      <c r="D6" s="49" t="s">
        <v>50</v>
      </c>
      <c r="E6" s="49" t="s">
        <v>51</v>
      </c>
      <c r="F6" s="49" t="s">
        <v>67</v>
      </c>
      <c r="G6" s="49" t="s">
        <v>77</v>
      </c>
      <c r="H6" s="117" t="s">
        <v>84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81" t="s">
        <v>81</v>
      </c>
      <c r="U6" s="76" t="s">
        <v>53</v>
      </c>
      <c r="V6" s="59"/>
      <c r="W6" s="59"/>
      <c r="X6" s="59"/>
      <c r="Y6" s="59"/>
      <c r="Z6" s="61"/>
      <c r="AA6" s="61"/>
    </row>
    <row r="7" spans="2:27" ht="21.75" customHeight="1">
      <c r="B7" s="112"/>
      <c r="C7" s="67" t="s">
        <v>71</v>
      </c>
      <c r="D7" s="56" t="s">
        <v>57</v>
      </c>
      <c r="E7" s="50" t="s">
        <v>52</v>
      </c>
      <c r="F7" s="55" t="s">
        <v>68</v>
      </c>
      <c r="G7" s="80" t="s">
        <v>78</v>
      </c>
      <c r="H7" s="51" t="s">
        <v>54</v>
      </c>
      <c r="I7" s="51" t="s">
        <v>65</v>
      </c>
      <c r="J7" s="51" t="s">
        <v>66</v>
      </c>
      <c r="K7" s="46" t="s">
        <v>60</v>
      </c>
      <c r="L7" s="46" t="s">
        <v>56</v>
      </c>
      <c r="M7" s="46" t="s">
        <v>59</v>
      </c>
      <c r="N7" s="46" t="s">
        <v>61</v>
      </c>
      <c r="O7" s="46" t="s">
        <v>62</v>
      </c>
      <c r="P7" s="46" t="s">
        <v>64</v>
      </c>
      <c r="Q7" s="46" t="s">
        <v>75</v>
      </c>
      <c r="R7" s="46" t="s">
        <v>79</v>
      </c>
      <c r="S7" s="46" t="s">
        <v>74</v>
      </c>
      <c r="T7" s="76" t="s">
        <v>80</v>
      </c>
      <c r="U7" s="77" t="s">
        <v>83</v>
      </c>
      <c r="V7" s="58"/>
      <c r="W7" s="58"/>
      <c r="X7" s="58"/>
      <c r="Y7" s="60"/>
      <c r="Z7" s="61"/>
      <c r="AA7" s="61"/>
    </row>
    <row r="8" spans="2:25" ht="21.75" customHeight="1">
      <c r="B8" s="13" t="s">
        <v>47</v>
      </c>
      <c r="C8" s="69">
        <f>SUM(D8:F8)</f>
        <v>18265</v>
      </c>
      <c r="D8" s="26">
        <v>6752</v>
      </c>
      <c r="E8" s="26">
        <v>6752</v>
      </c>
      <c r="F8" s="26">
        <v>4761</v>
      </c>
      <c r="G8" s="82">
        <f>SUM(D8:E8)</f>
        <v>13504</v>
      </c>
      <c r="H8" s="83"/>
      <c r="I8" s="83"/>
      <c r="J8" s="83"/>
      <c r="K8" s="83"/>
      <c r="L8" s="83"/>
      <c r="M8" s="83"/>
      <c r="N8" s="83">
        <f>960+960</f>
        <v>1920</v>
      </c>
      <c r="O8" s="83">
        <v>1920</v>
      </c>
      <c r="P8" s="83"/>
      <c r="Q8" s="83">
        <f>300+300+300+300+300+300+300+300</f>
        <v>2400</v>
      </c>
      <c r="R8" s="83"/>
      <c r="S8" s="83"/>
      <c r="T8" s="84">
        <f>SUM(H8:S8)</f>
        <v>6240</v>
      </c>
      <c r="U8" s="85">
        <f>G8-T8+960+960</f>
        <v>9184</v>
      </c>
      <c r="V8" s="61"/>
      <c r="W8" s="62"/>
      <c r="X8" s="63"/>
      <c r="Y8" s="61"/>
    </row>
    <row r="9" spans="2:25" ht="21.75" customHeight="1">
      <c r="B9" s="14" t="s">
        <v>48</v>
      </c>
      <c r="C9" s="70">
        <f>SUM(D9:F9)</f>
        <v>38633</v>
      </c>
      <c r="D9" s="27">
        <v>13801</v>
      </c>
      <c r="E9" s="27">
        <v>13801</v>
      </c>
      <c r="F9" s="27">
        <v>11031</v>
      </c>
      <c r="G9" s="86">
        <f>SUM(D9:E9)</f>
        <v>27602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>
        <f>SUM(H9:S9)</f>
        <v>0</v>
      </c>
      <c r="U9" s="89">
        <f>G9-T9-960-960</f>
        <v>25682</v>
      </c>
      <c r="V9" s="61"/>
      <c r="W9" s="62"/>
      <c r="X9" s="63"/>
      <c r="Y9" s="61"/>
    </row>
    <row r="10" spans="2:25" ht="21.75" customHeight="1">
      <c r="B10" s="2" t="s">
        <v>2</v>
      </c>
      <c r="C10" s="28">
        <f aca="true" t="shared" si="0" ref="C10:U10">SUM(C8:C9)</f>
        <v>56898</v>
      </c>
      <c r="D10" s="28">
        <f t="shared" si="0"/>
        <v>20553</v>
      </c>
      <c r="E10" s="28">
        <f t="shared" si="0"/>
        <v>20553</v>
      </c>
      <c r="F10" s="28">
        <f t="shared" si="0"/>
        <v>15792</v>
      </c>
      <c r="G10" s="90">
        <f t="shared" si="0"/>
        <v>41106</v>
      </c>
      <c r="H10" s="90">
        <f t="shared" si="0"/>
        <v>0</v>
      </c>
      <c r="I10" s="90">
        <f t="shared" si="0"/>
        <v>0</v>
      </c>
      <c r="J10" s="90">
        <f t="shared" si="0"/>
        <v>0</v>
      </c>
      <c r="K10" s="90">
        <f t="shared" si="0"/>
        <v>0</v>
      </c>
      <c r="L10" s="90"/>
      <c r="M10" s="90"/>
      <c r="N10" s="90">
        <f t="shared" si="0"/>
        <v>1920</v>
      </c>
      <c r="O10" s="90">
        <f t="shared" si="0"/>
        <v>1920</v>
      </c>
      <c r="P10" s="90"/>
      <c r="Q10" s="90">
        <f t="shared" si="0"/>
        <v>2400</v>
      </c>
      <c r="R10" s="90"/>
      <c r="S10" s="90"/>
      <c r="T10" s="90">
        <f t="shared" si="0"/>
        <v>6240</v>
      </c>
      <c r="U10" s="90">
        <f t="shared" si="0"/>
        <v>34866</v>
      </c>
      <c r="V10" s="61"/>
      <c r="W10" s="48"/>
      <c r="X10" s="48"/>
      <c r="Y10" s="61"/>
    </row>
    <row r="11" spans="2:25" ht="21.75" customHeight="1">
      <c r="B11" s="13" t="s">
        <v>4</v>
      </c>
      <c r="C11" s="70">
        <f>SUM(D11:F11)</f>
        <v>47895</v>
      </c>
      <c r="D11" s="26">
        <v>15911</v>
      </c>
      <c r="E11" s="26">
        <v>15911</v>
      </c>
      <c r="F11" s="26">
        <v>16073</v>
      </c>
      <c r="G11" s="86">
        <f>SUM(D11:E11)</f>
        <v>31822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>
        <f>SUM(H11:J11)</f>
        <v>0</v>
      </c>
      <c r="U11" s="85">
        <f>G11-T11</f>
        <v>31822</v>
      </c>
      <c r="V11" s="61"/>
      <c r="W11" s="64"/>
      <c r="X11" s="63"/>
      <c r="Y11" s="61"/>
    </row>
    <row r="12" spans="2:25" ht="21.75" customHeight="1">
      <c r="B12" s="14" t="s">
        <v>5</v>
      </c>
      <c r="C12" s="70">
        <f>SUM(D12:F12)</f>
        <v>9432</v>
      </c>
      <c r="D12" s="27">
        <v>4303</v>
      </c>
      <c r="E12" s="27">
        <v>4303</v>
      </c>
      <c r="F12" s="27">
        <v>826</v>
      </c>
      <c r="G12" s="86">
        <f>SUM(D12:E12)</f>
        <v>8606</v>
      </c>
      <c r="H12" s="87"/>
      <c r="I12" s="87"/>
      <c r="J12" s="87"/>
      <c r="K12" s="87"/>
      <c r="L12" s="87"/>
      <c r="M12" s="87"/>
      <c r="N12" s="87">
        <v>960</v>
      </c>
      <c r="O12" s="87"/>
      <c r="P12" s="87"/>
      <c r="Q12" s="87"/>
      <c r="R12" s="87"/>
      <c r="S12" s="87"/>
      <c r="T12" s="89">
        <f>SUM(H12:S12)</f>
        <v>960</v>
      </c>
      <c r="U12" s="89">
        <f>G12-T12</f>
        <v>7646</v>
      </c>
      <c r="V12" s="61"/>
      <c r="W12" s="62"/>
      <c r="X12" s="63"/>
      <c r="Y12" s="61"/>
    </row>
    <row r="13" spans="2:25" ht="21.75" customHeight="1">
      <c r="B13" s="2" t="s">
        <v>2</v>
      </c>
      <c r="C13" s="28">
        <f aca="true" t="shared" si="1" ref="C13:U13">SUM(C11:C12)</f>
        <v>57327</v>
      </c>
      <c r="D13" s="28">
        <f t="shared" si="1"/>
        <v>20214</v>
      </c>
      <c r="E13" s="28">
        <f t="shared" si="1"/>
        <v>20214</v>
      </c>
      <c r="F13" s="28">
        <f t="shared" si="1"/>
        <v>16899</v>
      </c>
      <c r="G13" s="90">
        <f t="shared" si="1"/>
        <v>40428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/>
      <c r="M13" s="90"/>
      <c r="N13" s="90">
        <f t="shared" si="1"/>
        <v>960</v>
      </c>
      <c r="O13" s="90"/>
      <c r="P13" s="90"/>
      <c r="Q13" s="90"/>
      <c r="R13" s="90"/>
      <c r="S13" s="90"/>
      <c r="T13" s="91">
        <f t="shared" si="1"/>
        <v>960</v>
      </c>
      <c r="U13" s="90">
        <f t="shared" si="1"/>
        <v>39468</v>
      </c>
      <c r="V13" s="61"/>
      <c r="W13" s="62"/>
      <c r="X13" s="48"/>
      <c r="Y13" s="61"/>
    </row>
    <row r="14" spans="2:26" ht="21.75" customHeight="1">
      <c r="B14" s="15" t="s">
        <v>6</v>
      </c>
      <c r="C14" s="69">
        <f aca="true" t="shared" si="2" ref="C14:C20">SUM(D14:F14)</f>
        <v>14220</v>
      </c>
      <c r="D14" s="30">
        <v>6375</v>
      </c>
      <c r="E14" s="30">
        <v>6375</v>
      </c>
      <c r="F14" s="30">
        <v>1470</v>
      </c>
      <c r="G14" s="86">
        <f aca="true" t="shared" si="3" ref="G14:G20">SUM(D14:E14)</f>
        <v>12750</v>
      </c>
      <c r="H14" s="83"/>
      <c r="I14" s="83"/>
      <c r="J14" s="83"/>
      <c r="K14" s="83"/>
      <c r="L14" s="83"/>
      <c r="M14" s="83"/>
      <c r="N14" s="83"/>
      <c r="O14" s="83"/>
      <c r="P14" s="83"/>
      <c r="Q14" s="82"/>
      <c r="R14" s="82"/>
      <c r="S14" s="82"/>
      <c r="T14" s="92">
        <f aca="true" t="shared" si="4" ref="T14:T25">SUM(H14:P14)</f>
        <v>0</v>
      </c>
      <c r="U14" s="85">
        <f>G14-T14</f>
        <v>12750</v>
      </c>
      <c r="V14" s="63"/>
      <c r="W14" s="63"/>
      <c r="X14" s="63"/>
      <c r="Y14" s="63"/>
      <c r="Z14" s="47"/>
    </row>
    <row r="15" spans="2:25" ht="21.75" customHeight="1">
      <c r="B15" s="16" t="s">
        <v>7</v>
      </c>
      <c r="C15" s="71">
        <f t="shared" si="2"/>
        <v>12789</v>
      </c>
      <c r="D15" s="31">
        <v>6167</v>
      </c>
      <c r="E15" s="31">
        <v>6167</v>
      </c>
      <c r="F15" s="31">
        <v>455</v>
      </c>
      <c r="G15" s="86">
        <f t="shared" si="3"/>
        <v>12334</v>
      </c>
      <c r="H15" s="86"/>
      <c r="I15" s="86"/>
      <c r="J15" s="86"/>
      <c r="K15" s="86"/>
      <c r="L15" s="86"/>
      <c r="M15" s="86"/>
      <c r="N15" s="86">
        <v>320</v>
      </c>
      <c r="O15" s="86">
        <f>800+960+960</f>
        <v>2720</v>
      </c>
      <c r="P15" s="86">
        <f>160+320+960+480</f>
        <v>1920</v>
      </c>
      <c r="Q15" s="86"/>
      <c r="R15" s="86"/>
      <c r="S15" s="86"/>
      <c r="T15" s="92">
        <f t="shared" si="4"/>
        <v>4960</v>
      </c>
      <c r="U15" s="92">
        <f aca="true" t="shared" si="5" ref="U15:U20">G15-T15</f>
        <v>7374</v>
      </c>
      <c r="V15" s="63"/>
      <c r="W15" s="63"/>
      <c r="X15" s="63"/>
      <c r="Y15" s="63"/>
    </row>
    <row r="16" spans="2:25" ht="21.75" customHeight="1">
      <c r="B16" s="16" t="s">
        <v>8</v>
      </c>
      <c r="C16" s="71">
        <f t="shared" si="2"/>
        <v>41962</v>
      </c>
      <c r="D16" s="31">
        <v>15187</v>
      </c>
      <c r="E16" s="31">
        <v>15187</v>
      </c>
      <c r="F16" s="31">
        <v>11588</v>
      </c>
      <c r="G16" s="86">
        <f t="shared" si="3"/>
        <v>30374</v>
      </c>
      <c r="H16" s="86"/>
      <c r="I16" s="86"/>
      <c r="J16" s="86"/>
      <c r="K16" s="86"/>
      <c r="L16" s="86"/>
      <c r="M16" s="86"/>
      <c r="N16" s="86">
        <v>960</v>
      </c>
      <c r="O16" s="86">
        <v>960</v>
      </c>
      <c r="P16" s="86">
        <v>160</v>
      </c>
      <c r="Q16" s="86"/>
      <c r="R16" s="86"/>
      <c r="S16" s="86"/>
      <c r="T16" s="92">
        <f t="shared" si="4"/>
        <v>2080</v>
      </c>
      <c r="U16" s="92">
        <f t="shared" si="5"/>
        <v>28294</v>
      </c>
      <c r="V16" s="63"/>
      <c r="W16" s="63"/>
      <c r="X16" s="63"/>
      <c r="Y16" s="63"/>
    </row>
    <row r="17" spans="2:25" ht="21.75" customHeight="1">
      <c r="B17" s="16" t="s">
        <v>44</v>
      </c>
      <c r="C17" s="71">
        <f t="shared" si="2"/>
        <v>36140</v>
      </c>
      <c r="D17" s="31">
        <v>12722</v>
      </c>
      <c r="E17" s="31">
        <v>12722</v>
      </c>
      <c r="F17" s="31">
        <v>10696</v>
      </c>
      <c r="G17" s="86">
        <f t="shared" si="3"/>
        <v>25444</v>
      </c>
      <c r="H17" s="86"/>
      <c r="I17" s="86"/>
      <c r="J17" s="86"/>
      <c r="K17" s="86"/>
      <c r="L17" s="86">
        <v>2240</v>
      </c>
      <c r="M17" s="86"/>
      <c r="N17" s="86">
        <f>1200+800+1690+1200+200+300+1050+160+900+1350+500+450+920+100</f>
        <v>10820</v>
      </c>
      <c r="O17" s="86"/>
      <c r="P17" s="86"/>
      <c r="Q17" s="86"/>
      <c r="R17" s="86"/>
      <c r="S17" s="86"/>
      <c r="T17" s="92">
        <f t="shared" si="4"/>
        <v>13060</v>
      </c>
      <c r="U17" s="92">
        <f t="shared" si="5"/>
        <v>12384</v>
      </c>
      <c r="V17" s="63"/>
      <c r="W17" s="63"/>
      <c r="X17" s="63"/>
      <c r="Y17" s="63"/>
    </row>
    <row r="18" spans="2:25" ht="21.75" customHeight="1">
      <c r="B18" s="16" t="s">
        <v>10</v>
      </c>
      <c r="C18" s="71">
        <f t="shared" si="2"/>
        <v>9555</v>
      </c>
      <c r="D18" s="31">
        <v>4206</v>
      </c>
      <c r="E18" s="31">
        <v>4206</v>
      </c>
      <c r="F18" s="31">
        <v>1143</v>
      </c>
      <c r="G18" s="86">
        <f t="shared" si="3"/>
        <v>8412</v>
      </c>
      <c r="H18" s="86"/>
      <c r="I18" s="86">
        <v>3266</v>
      </c>
      <c r="J18" s="86"/>
      <c r="K18" s="86"/>
      <c r="L18" s="86"/>
      <c r="M18" s="86"/>
      <c r="N18" s="86">
        <v>960</v>
      </c>
      <c r="O18" s="86">
        <f>960+960</f>
        <v>1920</v>
      </c>
      <c r="P18" s="86">
        <f>600+600</f>
        <v>1200</v>
      </c>
      <c r="Q18" s="86"/>
      <c r="R18" s="86"/>
      <c r="S18" s="86"/>
      <c r="T18" s="92">
        <f>SUM(H18:S18)</f>
        <v>7346</v>
      </c>
      <c r="U18" s="92">
        <f t="shared" si="5"/>
        <v>1066</v>
      </c>
      <c r="V18" s="63"/>
      <c r="W18" s="63"/>
      <c r="X18" s="63"/>
      <c r="Y18" s="63"/>
    </row>
    <row r="19" spans="2:25" ht="21.75" customHeight="1">
      <c r="B19" s="16" t="s">
        <v>9</v>
      </c>
      <c r="C19" s="71">
        <f t="shared" si="2"/>
        <v>38340</v>
      </c>
      <c r="D19" s="31">
        <v>15887</v>
      </c>
      <c r="E19" s="31">
        <v>15887</v>
      </c>
      <c r="F19" s="31">
        <v>6566</v>
      </c>
      <c r="G19" s="86">
        <f t="shared" si="3"/>
        <v>31774</v>
      </c>
      <c r="H19" s="86"/>
      <c r="I19" s="86"/>
      <c r="J19" s="86"/>
      <c r="K19" s="86"/>
      <c r="L19" s="86"/>
      <c r="M19" s="86"/>
      <c r="N19" s="86">
        <f>960+960</f>
        <v>1920</v>
      </c>
      <c r="O19" s="86">
        <f>960+960</f>
        <v>1920</v>
      </c>
      <c r="P19" s="86">
        <f>1390+635+5010+1710+2020+3560+1990</f>
        <v>16315</v>
      </c>
      <c r="Q19" s="86"/>
      <c r="R19" s="86"/>
      <c r="S19" s="86"/>
      <c r="T19" s="92">
        <f>SUM(H19:S19)</f>
        <v>20155</v>
      </c>
      <c r="U19" s="92">
        <f t="shared" si="5"/>
        <v>11619</v>
      </c>
      <c r="V19" s="63"/>
      <c r="W19" s="63"/>
      <c r="X19" s="63"/>
      <c r="Y19" s="63"/>
    </row>
    <row r="20" spans="2:25" ht="21.75" customHeight="1">
      <c r="B20" s="15" t="s">
        <v>11</v>
      </c>
      <c r="C20" s="70">
        <f t="shared" si="2"/>
        <v>24765</v>
      </c>
      <c r="D20" s="34">
        <v>9863</v>
      </c>
      <c r="E20" s="34">
        <v>9863</v>
      </c>
      <c r="F20" s="34">
        <v>5039</v>
      </c>
      <c r="G20" s="86">
        <f t="shared" si="3"/>
        <v>19726</v>
      </c>
      <c r="H20" s="87"/>
      <c r="I20" s="87"/>
      <c r="J20" s="87"/>
      <c r="K20" s="87"/>
      <c r="L20" s="87"/>
      <c r="M20" s="87"/>
      <c r="N20" s="87">
        <f>900+1210+960+800</f>
        <v>3870</v>
      </c>
      <c r="O20" s="87">
        <f>300+960</f>
        <v>1260</v>
      </c>
      <c r="P20" s="87"/>
      <c r="Q20" s="93"/>
      <c r="R20" s="93">
        <v>1230</v>
      </c>
      <c r="S20" s="93"/>
      <c r="T20" s="92">
        <f>SUM(H20:S20)</f>
        <v>6360</v>
      </c>
      <c r="U20" s="89">
        <f t="shared" si="5"/>
        <v>13366</v>
      </c>
      <c r="V20" s="63"/>
      <c r="W20" s="63"/>
      <c r="X20" s="63"/>
      <c r="Y20" s="63"/>
    </row>
    <row r="21" spans="2:25" ht="21.75" customHeight="1">
      <c r="B21" s="2" t="s">
        <v>2</v>
      </c>
      <c r="C21" s="29">
        <f aca="true" t="shared" si="6" ref="C21:U21">SUM(C14:C20)</f>
        <v>177771</v>
      </c>
      <c r="D21" s="29">
        <f t="shared" si="6"/>
        <v>70407</v>
      </c>
      <c r="E21" s="29">
        <f t="shared" si="6"/>
        <v>70407</v>
      </c>
      <c r="F21" s="29">
        <f t="shared" si="6"/>
        <v>36957</v>
      </c>
      <c r="G21" s="90">
        <f t="shared" si="6"/>
        <v>140814</v>
      </c>
      <c r="H21" s="90">
        <f t="shared" si="6"/>
        <v>0</v>
      </c>
      <c r="I21" s="90">
        <f t="shared" si="6"/>
        <v>3266</v>
      </c>
      <c r="J21" s="90">
        <f t="shared" si="6"/>
        <v>0</v>
      </c>
      <c r="K21" s="90">
        <f t="shared" si="6"/>
        <v>0</v>
      </c>
      <c r="L21" s="90">
        <f>SUM(L14:L20)</f>
        <v>2240</v>
      </c>
      <c r="M21" s="90">
        <f>SUM(M14:M20)</f>
        <v>0</v>
      </c>
      <c r="N21" s="90">
        <f t="shared" si="6"/>
        <v>18850</v>
      </c>
      <c r="O21" s="90">
        <f t="shared" si="6"/>
        <v>8780</v>
      </c>
      <c r="P21" s="90">
        <f t="shared" si="6"/>
        <v>19595</v>
      </c>
      <c r="Q21" s="90"/>
      <c r="R21" s="90">
        <f t="shared" si="6"/>
        <v>1230</v>
      </c>
      <c r="S21" s="90"/>
      <c r="T21" s="90">
        <f t="shared" si="6"/>
        <v>53961</v>
      </c>
      <c r="U21" s="90">
        <f t="shared" si="6"/>
        <v>86853</v>
      </c>
      <c r="V21" s="65"/>
      <c r="W21" s="48"/>
      <c r="X21" s="48"/>
      <c r="Y21" s="65"/>
    </row>
    <row r="22" spans="2:25" ht="21.75" customHeight="1">
      <c r="B22" s="15" t="s">
        <v>14</v>
      </c>
      <c r="C22" s="69">
        <f>SUM(D22:F22)</f>
        <v>20011</v>
      </c>
      <c r="D22" s="34">
        <v>8059</v>
      </c>
      <c r="E22" s="34">
        <v>8059</v>
      </c>
      <c r="F22" s="34">
        <v>3893</v>
      </c>
      <c r="G22" s="86">
        <f>SUM(D22:E22)</f>
        <v>16118</v>
      </c>
      <c r="H22" s="83"/>
      <c r="I22" s="83"/>
      <c r="J22" s="83"/>
      <c r="K22" s="83"/>
      <c r="L22" s="83"/>
      <c r="M22" s="83"/>
      <c r="N22" s="83">
        <v>960</v>
      </c>
      <c r="O22" s="83">
        <v>960</v>
      </c>
      <c r="P22" s="83">
        <f>960+1110+810+3400+1310+1320+3190+330+450</f>
        <v>12880</v>
      </c>
      <c r="Q22" s="82"/>
      <c r="R22" s="82"/>
      <c r="S22" s="82"/>
      <c r="T22" s="92">
        <f t="shared" si="4"/>
        <v>14800</v>
      </c>
      <c r="U22" s="85">
        <f>G22-T22</f>
        <v>1318</v>
      </c>
      <c r="V22" s="61"/>
      <c r="W22" s="61"/>
      <c r="X22" s="63"/>
      <c r="Y22" s="61"/>
    </row>
    <row r="23" spans="2:25" ht="21.75" customHeight="1">
      <c r="B23" s="16" t="s">
        <v>15</v>
      </c>
      <c r="C23" s="71">
        <f>SUM(D23:F23)</f>
        <v>10531</v>
      </c>
      <c r="D23" s="31">
        <v>5192</v>
      </c>
      <c r="E23" s="31">
        <v>5192</v>
      </c>
      <c r="F23" s="31">
        <v>147</v>
      </c>
      <c r="G23" s="86">
        <f>SUM(D23:E23)</f>
        <v>10384</v>
      </c>
      <c r="H23" s="86"/>
      <c r="I23" s="86"/>
      <c r="J23" s="86"/>
      <c r="K23" s="86"/>
      <c r="L23" s="86"/>
      <c r="M23" s="86"/>
      <c r="N23" s="86"/>
      <c r="O23" s="86"/>
      <c r="P23" s="86">
        <v>160</v>
      </c>
      <c r="Q23" s="86"/>
      <c r="R23" s="86"/>
      <c r="S23" s="86"/>
      <c r="T23" s="92">
        <f t="shared" si="4"/>
        <v>160</v>
      </c>
      <c r="U23" s="92">
        <f>G23-T23</f>
        <v>10224</v>
      </c>
      <c r="V23" s="61"/>
      <c r="W23" s="61"/>
      <c r="X23" s="63"/>
      <c r="Y23" s="61"/>
    </row>
    <row r="24" spans="2:25" ht="21.75" customHeight="1">
      <c r="B24" s="16" t="s">
        <v>16</v>
      </c>
      <c r="C24" s="71">
        <f>SUM(D24:F24)</f>
        <v>6542</v>
      </c>
      <c r="D24" s="31">
        <v>3563</v>
      </c>
      <c r="E24" s="31">
        <v>3563</v>
      </c>
      <c r="F24" s="31">
        <v>-584</v>
      </c>
      <c r="G24" s="86">
        <v>6542</v>
      </c>
      <c r="H24" s="86"/>
      <c r="I24" s="86"/>
      <c r="J24" s="86"/>
      <c r="K24" s="86"/>
      <c r="L24" s="86"/>
      <c r="M24" s="86"/>
      <c r="N24" s="86"/>
      <c r="O24" s="86"/>
      <c r="P24" s="86">
        <f>600+150+150+320+250</f>
        <v>1470</v>
      </c>
      <c r="Q24" s="86"/>
      <c r="R24" s="86"/>
      <c r="S24" s="86"/>
      <c r="T24" s="92">
        <f t="shared" si="4"/>
        <v>1470</v>
      </c>
      <c r="U24" s="92">
        <f>G24-T24</f>
        <v>5072</v>
      </c>
      <c r="V24" s="61"/>
      <c r="W24" s="61"/>
      <c r="X24" s="63"/>
      <c r="Y24" s="61"/>
    </row>
    <row r="25" spans="2:25" ht="21.75" customHeight="1">
      <c r="B25" s="15" t="s">
        <v>13</v>
      </c>
      <c r="C25" s="70">
        <f>SUM(D25:F25)</f>
        <v>27468</v>
      </c>
      <c r="D25" s="34">
        <v>14225</v>
      </c>
      <c r="E25" s="34">
        <v>14225</v>
      </c>
      <c r="F25" s="34">
        <v>-982</v>
      </c>
      <c r="G25" s="86">
        <v>27468</v>
      </c>
      <c r="H25" s="87"/>
      <c r="I25" s="87"/>
      <c r="J25" s="87"/>
      <c r="K25" s="87"/>
      <c r="L25" s="87"/>
      <c r="M25" s="87"/>
      <c r="N25" s="87"/>
      <c r="O25" s="87"/>
      <c r="P25" s="87"/>
      <c r="Q25" s="93"/>
      <c r="R25" s="93"/>
      <c r="S25" s="93"/>
      <c r="T25" s="92">
        <f t="shared" si="4"/>
        <v>0</v>
      </c>
      <c r="U25" s="92">
        <f>G25-T25</f>
        <v>27468</v>
      </c>
      <c r="V25" s="61"/>
      <c r="W25" s="61"/>
      <c r="X25" s="63"/>
      <c r="Y25" s="61"/>
    </row>
    <row r="26" spans="2:25" ht="21.75" customHeight="1">
      <c r="B26" s="2" t="s">
        <v>2</v>
      </c>
      <c r="C26" s="29">
        <f aca="true" t="shared" si="7" ref="C26:U26">SUM(C22:C25)</f>
        <v>64552</v>
      </c>
      <c r="D26" s="29">
        <f t="shared" si="7"/>
        <v>31039</v>
      </c>
      <c r="E26" s="29">
        <f t="shared" si="7"/>
        <v>31039</v>
      </c>
      <c r="F26" s="29">
        <f t="shared" si="7"/>
        <v>2474</v>
      </c>
      <c r="G26" s="90">
        <f t="shared" si="7"/>
        <v>60512</v>
      </c>
      <c r="H26" s="90">
        <f t="shared" si="7"/>
        <v>0</v>
      </c>
      <c r="I26" s="90">
        <f t="shared" si="7"/>
        <v>0</v>
      </c>
      <c r="J26" s="90">
        <f t="shared" si="7"/>
        <v>0</v>
      </c>
      <c r="K26" s="90">
        <f t="shared" si="7"/>
        <v>0</v>
      </c>
      <c r="L26" s="90">
        <f>SUM(L22:L25)</f>
        <v>0</v>
      </c>
      <c r="M26" s="90">
        <f>SUM(M22:M25)</f>
        <v>0</v>
      </c>
      <c r="N26" s="90">
        <f>SUM(N22:N25)</f>
        <v>960</v>
      </c>
      <c r="O26" s="90">
        <f>SUM(O22:O25)</f>
        <v>960</v>
      </c>
      <c r="P26" s="90">
        <f>SUM(P22:P25)</f>
        <v>14510</v>
      </c>
      <c r="Q26" s="90"/>
      <c r="R26" s="90"/>
      <c r="S26" s="90"/>
      <c r="T26" s="90">
        <f t="shared" si="7"/>
        <v>16430</v>
      </c>
      <c r="U26" s="90">
        <f t="shared" si="7"/>
        <v>44082</v>
      </c>
      <c r="V26" s="61"/>
      <c r="W26" s="61"/>
      <c r="X26" s="48"/>
      <c r="Y26" s="61"/>
    </row>
    <row r="27" spans="2:25" ht="21.75" customHeight="1">
      <c r="B27" s="15" t="s">
        <v>32</v>
      </c>
      <c r="C27" s="71">
        <f>SUM(D27:F27)</f>
        <v>29430</v>
      </c>
      <c r="D27" s="39">
        <v>11753</v>
      </c>
      <c r="E27" s="39">
        <v>11753</v>
      </c>
      <c r="F27" s="39">
        <v>5924</v>
      </c>
      <c r="G27" s="86">
        <f>SUM(D27:E27)</f>
        <v>23506</v>
      </c>
      <c r="H27" s="83"/>
      <c r="I27" s="83"/>
      <c r="J27" s="83"/>
      <c r="K27" s="83"/>
      <c r="L27" s="83"/>
      <c r="M27" s="83"/>
      <c r="N27" s="83">
        <f>1000+5000+5000+2000+1000+2250+960</f>
        <v>17210</v>
      </c>
      <c r="O27" s="83">
        <v>960</v>
      </c>
      <c r="P27" s="83">
        <v>760</v>
      </c>
      <c r="Q27" s="94"/>
      <c r="R27" s="94"/>
      <c r="S27" s="94"/>
      <c r="T27" s="84">
        <f>SUM(H27:P27)</f>
        <v>18930</v>
      </c>
      <c r="U27" s="92">
        <f>G27-T27+760+960+960</f>
        <v>7256</v>
      </c>
      <c r="V27" s="61"/>
      <c r="W27" s="61"/>
      <c r="X27" s="63"/>
      <c r="Y27" s="61"/>
    </row>
    <row r="28" spans="2:25" ht="21.75" customHeight="1">
      <c r="B28" s="16" t="s">
        <v>31</v>
      </c>
      <c r="C28" s="71">
        <f>SUM(D28:F28)</f>
        <v>26260</v>
      </c>
      <c r="D28" s="32">
        <v>9447</v>
      </c>
      <c r="E28" s="32">
        <v>9447</v>
      </c>
      <c r="F28" s="32">
        <v>7366</v>
      </c>
      <c r="G28" s="86">
        <f>SUM(D28:E28)</f>
        <v>18894</v>
      </c>
      <c r="H28" s="86"/>
      <c r="I28" s="86"/>
      <c r="J28" s="86"/>
      <c r="K28" s="86"/>
      <c r="L28" s="86"/>
      <c r="M28" s="86"/>
      <c r="N28" s="86">
        <f>960+960</f>
        <v>1920</v>
      </c>
      <c r="O28" s="86">
        <f>960+960</f>
        <v>1920</v>
      </c>
      <c r="P28" s="86"/>
      <c r="Q28" s="95"/>
      <c r="R28" s="95"/>
      <c r="S28" s="95"/>
      <c r="T28" s="96">
        <f>SUM(H28:P28)</f>
        <v>3840</v>
      </c>
      <c r="U28" s="92">
        <f>G28-T28</f>
        <v>15054</v>
      </c>
      <c r="V28" s="61"/>
      <c r="W28" s="61"/>
      <c r="X28" s="63"/>
      <c r="Y28" s="61"/>
    </row>
    <row r="29" spans="2:25" ht="21.75" customHeight="1">
      <c r="B29" s="15" t="s">
        <v>49</v>
      </c>
      <c r="C29" s="71">
        <f>SUM(D29:F29)</f>
        <v>82655</v>
      </c>
      <c r="D29" s="32">
        <v>32071</v>
      </c>
      <c r="E29" s="32">
        <v>32071</v>
      </c>
      <c r="F29" s="43">
        <v>18513</v>
      </c>
      <c r="G29" s="86">
        <f>SUM(D29:E29)</f>
        <v>64142</v>
      </c>
      <c r="H29" s="87"/>
      <c r="I29" s="87"/>
      <c r="J29" s="87"/>
      <c r="K29" s="87"/>
      <c r="L29" s="87"/>
      <c r="M29" s="87"/>
      <c r="N29" s="87">
        <v>960</v>
      </c>
      <c r="O29" s="87">
        <v>960</v>
      </c>
      <c r="P29" s="87">
        <v>200</v>
      </c>
      <c r="Q29" s="97"/>
      <c r="R29" s="97"/>
      <c r="S29" s="97"/>
      <c r="T29" s="98">
        <f>SUM(H29:P29)</f>
        <v>2120</v>
      </c>
      <c r="U29" s="92">
        <f>G29-T29-760-960-960</f>
        <v>59342</v>
      </c>
      <c r="V29" s="61"/>
      <c r="W29" s="61"/>
      <c r="X29" s="63"/>
      <c r="Y29" s="61"/>
    </row>
    <row r="30" spans="2:25" ht="21.75" customHeight="1">
      <c r="B30" s="2" t="s">
        <v>2</v>
      </c>
      <c r="C30" s="38">
        <f aca="true" t="shared" si="8" ref="C30:J30">SUM(C27:C29)</f>
        <v>138345</v>
      </c>
      <c r="D30" s="38">
        <f t="shared" si="8"/>
        <v>53271</v>
      </c>
      <c r="E30" s="38">
        <f t="shared" si="8"/>
        <v>53271</v>
      </c>
      <c r="F30" s="38">
        <f t="shared" si="8"/>
        <v>31803</v>
      </c>
      <c r="G30" s="99">
        <f t="shared" si="8"/>
        <v>106542</v>
      </c>
      <c r="H30" s="99">
        <f t="shared" si="8"/>
        <v>0</v>
      </c>
      <c r="I30" s="99">
        <f t="shared" si="8"/>
        <v>0</v>
      </c>
      <c r="J30" s="99">
        <f t="shared" si="8"/>
        <v>0</v>
      </c>
      <c r="K30" s="99">
        <f aca="true" t="shared" si="9" ref="K30:P30">SUM(K27:K29)</f>
        <v>0</v>
      </c>
      <c r="L30" s="99">
        <f t="shared" si="9"/>
        <v>0</v>
      </c>
      <c r="M30" s="99">
        <f t="shared" si="9"/>
        <v>0</v>
      </c>
      <c r="N30" s="99">
        <f t="shared" si="9"/>
        <v>20090</v>
      </c>
      <c r="O30" s="99">
        <f t="shared" si="9"/>
        <v>3840</v>
      </c>
      <c r="P30" s="99">
        <f t="shared" si="9"/>
        <v>960</v>
      </c>
      <c r="Q30" s="99"/>
      <c r="R30" s="99"/>
      <c r="S30" s="99"/>
      <c r="T30" s="99">
        <f>SUM(T27:T29)</f>
        <v>24890</v>
      </c>
      <c r="U30" s="99">
        <f>SUM(U27:U29)</f>
        <v>81652</v>
      </c>
      <c r="V30" s="61"/>
      <c r="W30" s="61"/>
      <c r="X30" s="48"/>
      <c r="Y30" s="61"/>
    </row>
    <row r="31" spans="2:25" ht="21.75" customHeight="1">
      <c r="B31" s="15" t="s">
        <v>30</v>
      </c>
      <c r="C31" s="71">
        <f>SUM(D31:F31)</f>
        <v>16397</v>
      </c>
      <c r="D31" s="34">
        <v>8024</v>
      </c>
      <c r="E31" s="34">
        <v>8024</v>
      </c>
      <c r="F31" s="34">
        <v>349</v>
      </c>
      <c r="G31" s="86">
        <f>SUM(D31:E31)</f>
        <v>16048</v>
      </c>
      <c r="H31" s="83"/>
      <c r="I31" s="83"/>
      <c r="J31" s="83"/>
      <c r="K31" s="83"/>
      <c r="L31" s="83"/>
      <c r="M31" s="83"/>
      <c r="N31" s="83"/>
      <c r="O31" s="83"/>
      <c r="P31" s="83">
        <f>1000+2730+1210</f>
        <v>4940</v>
      </c>
      <c r="Q31" s="83"/>
      <c r="R31" s="83"/>
      <c r="S31" s="83"/>
      <c r="T31" s="85">
        <f>SUM(H31:P31)</f>
        <v>4940</v>
      </c>
      <c r="U31" s="92">
        <f>G31-T31</f>
        <v>11108</v>
      </c>
      <c r="V31" s="61"/>
      <c r="W31" s="61"/>
      <c r="X31" s="63"/>
      <c r="Y31" s="61"/>
    </row>
    <row r="32" spans="2:25" ht="21.75" customHeight="1">
      <c r="B32" s="18" t="s">
        <v>29</v>
      </c>
      <c r="C32" s="71">
        <f>SUM(D32:F32)</f>
        <v>15966</v>
      </c>
      <c r="D32" s="37">
        <v>8145</v>
      </c>
      <c r="E32" s="37">
        <v>8145</v>
      </c>
      <c r="F32" s="37">
        <v>-324</v>
      </c>
      <c r="G32" s="86">
        <v>15966</v>
      </c>
      <c r="H32" s="87"/>
      <c r="I32" s="87"/>
      <c r="J32" s="87"/>
      <c r="K32" s="87"/>
      <c r="L32" s="87"/>
      <c r="M32" s="87"/>
      <c r="N32" s="87"/>
      <c r="O32" s="87"/>
      <c r="P32" s="87">
        <v>60</v>
      </c>
      <c r="Q32" s="87"/>
      <c r="R32" s="87"/>
      <c r="S32" s="87"/>
      <c r="T32" s="85">
        <f>SUM(H32:P32)</f>
        <v>60</v>
      </c>
      <c r="U32" s="92">
        <f>G32-T32</f>
        <v>15906</v>
      </c>
      <c r="V32" s="61"/>
      <c r="W32" s="61"/>
      <c r="X32" s="63"/>
      <c r="Y32" s="61"/>
    </row>
    <row r="33" spans="2:25" ht="21.75" customHeight="1">
      <c r="B33" s="2" t="s">
        <v>2</v>
      </c>
      <c r="C33" s="38">
        <f aca="true" t="shared" si="10" ref="C33:P33">SUM(C31:C32)</f>
        <v>32363</v>
      </c>
      <c r="D33" s="38">
        <f t="shared" si="10"/>
        <v>16169</v>
      </c>
      <c r="E33" s="38">
        <f t="shared" si="10"/>
        <v>16169</v>
      </c>
      <c r="F33" s="38">
        <f t="shared" si="10"/>
        <v>25</v>
      </c>
      <c r="G33" s="90">
        <f t="shared" si="10"/>
        <v>32014</v>
      </c>
      <c r="H33" s="90">
        <f t="shared" si="10"/>
        <v>0</v>
      </c>
      <c r="I33" s="90">
        <f t="shared" si="10"/>
        <v>0</v>
      </c>
      <c r="J33" s="90">
        <f t="shared" si="10"/>
        <v>0</v>
      </c>
      <c r="K33" s="90">
        <f t="shared" si="10"/>
        <v>0</v>
      </c>
      <c r="L33" s="90">
        <f t="shared" si="10"/>
        <v>0</v>
      </c>
      <c r="M33" s="90">
        <f t="shared" si="10"/>
        <v>0</v>
      </c>
      <c r="N33" s="90">
        <f t="shared" si="10"/>
        <v>0</v>
      </c>
      <c r="O33" s="90">
        <f t="shared" si="10"/>
        <v>0</v>
      </c>
      <c r="P33" s="90">
        <f t="shared" si="10"/>
        <v>5000</v>
      </c>
      <c r="Q33" s="90"/>
      <c r="R33" s="90"/>
      <c r="S33" s="90"/>
      <c r="T33" s="90">
        <f>SUM(T31:T32)</f>
        <v>5000</v>
      </c>
      <c r="U33" s="90">
        <f>SUM(U31:U32)</f>
        <v>27014</v>
      </c>
      <c r="V33" s="61"/>
      <c r="W33" s="61"/>
      <c r="X33" s="63"/>
      <c r="Y33" s="61"/>
    </row>
    <row r="34" spans="2:25" ht="21.75" customHeight="1">
      <c r="B34" s="15" t="s">
        <v>21</v>
      </c>
      <c r="C34" s="71">
        <f>SUM(D34:F34)</f>
        <v>25118</v>
      </c>
      <c r="D34" s="36">
        <v>12528</v>
      </c>
      <c r="E34" s="36">
        <v>12528</v>
      </c>
      <c r="F34" s="36">
        <v>62</v>
      </c>
      <c r="G34" s="86">
        <f>SUM(D34:E34)</f>
        <v>25056</v>
      </c>
      <c r="H34" s="83"/>
      <c r="I34" s="83"/>
      <c r="J34" s="83"/>
      <c r="K34" s="83"/>
      <c r="L34" s="83"/>
      <c r="M34" s="83">
        <f>320+160+480+320+320</f>
        <v>1600</v>
      </c>
      <c r="N34" s="94"/>
      <c r="O34" s="94"/>
      <c r="P34" s="94">
        <f>150+350+150+620+195+300+460+1600+620+460</f>
        <v>4905</v>
      </c>
      <c r="Q34" s="94"/>
      <c r="R34" s="94"/>
      <c r="S34" s="94"/>
      <c r="T34" s="92">
        <f>SUM(H34:S34)</f>
        <v>6505</v>
      </c>
      <c r="U34" s="85">
        <f>G34-T34</f>
        <v>18551</v>
      </c>
      <c r="V34" s="61"/>
      <c r="W34" s="61"/>
      <c r="X34" s="72"/>
      <c r="Y34" s="61"/>
    </row>
    <row r="35" spans="2:25" ht="21.75" customHeight="1">
      <c r="B35" s="16" t="s">
        <v>20</v>
      </c>
      <c r="C35" s="71">
        <f>SUM(D35:F35)</f>
        <v>20511</v>
      </c>
      <c r="D35" s="31">
        <v>9581</v>
      </c>
      <c r="E35" s="31">
        <v>9581</v>
      </c>
      <c r="F35" s="31">
        <v>1349</v>
      </c>
      <c r="G35" s="86">
        <f>SUM(D35:E35)</f>
        <v>19162</v>
      </c>
      <c r="H35" s="86"/>
      <c r="I35" s="86"/>
      <c r="J35" s="86"/>
      <c r="K35" s="86"/>
      <c r="L35" s="86">
        <f>535+2420+1375+2775+1170+1510+400+3590+2965+700+700+350+1050+200+500</f>
        <v>20240</v>
      </c>
      <c r="M35" s="86"/>
      <c r="N35" s="86">
        <f>1550+140+800+150+900</f>
        <v>3540</v>
      </c>
      <c r="O35" s="86">
        <v>960</v>
      </c>
      <c r="P35" s="86"/>
      <c r="Q35" s="86"/>
      <c r="R35" s="86"/>
      <c r="S35" s="86"/>
      <c r="T35" s="92">
        <f>SUM(H35:S35)</f>
        <v>24740</v>
      </c>
      <c r="U35" s="92">
        <f>G35-T35+700+800+350+1050+200+650+900+960</f>
        <v>32</v>
      </c>
      <c r="V35" s="61"/>
      <c r="W35" s="61"/>
      <c r="X35" s="63"/>
      <c r="Y35" s="61"/>
    </row>
    <row r="36" spans="2:25" ht="21.75" customHeight="1">
      <c r="B36" s="16" t="s">
        <v>24</v>
      </c>
      <c r="C36" s="71">
        <f>SUM(D36:F36)</f>
        <v>47775</v>
      </c>
      <c r="D36" s="31">
        <v>20781</v>
      </c>
      <c r="E36" s="31">
        <v>20781</v>
      </c>
      <c r="F36" s="31">
        <v>6213</v>
      </c>
      <c r="G36" s="86">
        <f>SUM(D36:E36)</f>
        <v>41562</v>
      </c>
      <c r="H36" s="86"/>
      <c r="I36" s="86"/>
      <c r="J36" s="86">
        <v>1000</v>
      </c>
      <c r="K36" s="86">
        <f>450+450+300+150+300+750+300+150+150+300+900+150</f>
        <v>4350</v>
      </c>
      <c r="L36" s="86">
        <f>1395+490+1245+560+1660+1855+310+1895+1050+2940+2940+350+350+350+350+350+500</f>
        <v>18590</v>
      </c>
      <c r="M36" s="86"/>
      <c r="N36" s="86">
        <f>800+50+2170+150+150</f>
        <v>3320</v>
      </c>
      <c r="O36" s="86"/>
      <c r="P36" s="86"/>
      <c r="Q36" s="86"/>
      <c r="R36" s="86"/>
      <c r="S36" s="86">
        <f>310+310+310+310+310+310</f>
        <v>1860</v>
      </c>
      <c r="T36" s="92">
        <f>SUM(H36:S36)</f>
        <v>29120</v>
      </c>
      <c r="U36" s="92">
        <f>G36-T36-700-800-350-1050-200-650-900-960</f>
        <v>6832</v>
      </c>
      <c r="V36" s="61"/>
      <c r="W36" s="66"/>
      <c r="X36" s="48"/>
      <c r="Y36" s="66"/>
    </row>
    <row r="37" spans="2:25" ht="21.75" customHeight="1">
      <c r="B37" s="16" t="s">
        <v>23</v>
      </c>
      <c r="C37" s="71">
        <f>SUM(D37:F37)</f>
        <v>47520</v>
      </c>
      <c r="D37" s="31">
        <v>16004</v>
      </c>
      <c r="E37" s="31">
        <v>16004</v>
      </c>
      <c r="F37" s="31">
        <v>15512</v>
      </c>
      <c r="G37" s="86">
        <f>SUM(D37:E37)</f>
        <v>32008</v>
      </c>
      <c r="H37" s="86"/>
      <c r="I37" s="86"/>
      <c r="J37" s="86"/>
      <c r="K37" s="86">
        <f>150+150+150</f>
        <v>450</v>
      </c>
      <c r="L37" s="86"/>
      <c r="M37" s="86"/>
      <c r="N37" s="86">
        <f>960+100</f>
        <v>1060</v>
      </c>
      <c r="O37" s="86">
        <v>200</v>
      </c>
      <c r="P37" s="86">
        <f>600+950</f>
        <v>1550</v>
      </c>
      <c r="Q37" s="86"/>
      <c r="R37" s="86"/>
      <c r="S37" s="86"/>
      <c r="T37" s="92">
        <f>SUM(H37:S37)</f>
        <v>3260</v>
      </c>
      <c r="U37" s="92">
        <f>G37-T37</f>
        <v>28748</v>
      </c>
      <c r="V37" s="61"/>
      <c r="W37" s="61"/>
      <c r="X37" s="63"/>
      <c r="Y37" s="61"/>
    </row>
    <row r="38" spans="2:25" ht="21.75" customHeight="1">
      <c r="B38" s="15" t="s">
        <v>22</v>
      </c>
      <c r="C38" s="71">
        <f>SUM(D38:F38)</f>
        <v>42711</v>
      </c>
      <c r="D38" s="27">
        <v>16009</v>
      </c>
      <c r="E38" s="27">
        <v>16009</v>
      </c>
      <c r="F38" s="27">
        <v>10693</v>
      </c>
      <c r="G38" s="86">
        <f>SUM(D38:E38)</f>
        <v>32018</v>
      </c>
      <c r="H38" s="87"/>
      <c r="I38" s="87"/>
      <c r="J38" s="87"/>
      <c r="K38" s="87"/>
      <c r="L38" s="87"/>
      <c r="M38" s="87"/>
      <c r="N38" s="87"/>
      <c r="O38" s="87"/>
      <c r="P38" s="93">
        <f>160+2050+950+1760+170+990</f>
        <v>6080</v>
      </c>
      <c r="Q38" s="93"/>
      <c r="R38" s="93"/>
      <c r="S38" s="93"/>
      <c r="T38" s="92">
        <f>SUM(H38:S38)</f>
        <v>6080</v>
      </c>
      <c r="U38" s="89">
        <f>G38-T38</f>
        <v>25938</v>
      </c>
      <c r="V38" s="61"/>
      <c r="W38" s="61"/>
      <c r="X38" s="63"/>
      <c r="Y38" s="61"/>
    </row>
    <row r="39" spans="2:25" ht="21.75" customHeight="1">
      <c r="B39" s="2" t="s">
        <v>2</v>
      </c>
      <c r="C39" s="29">
        <f aca="true" t="shared" si="11" ref="C39:P39">SUM(C34:C38)</f>
        <v>183635</v>
      </c>
      <c r="D39" s="29">
        <f t="shared" si="11"/>
        <v>74903</v>
      </c>
      <c r="E39" s="29">
        <f t="shared" si="11"/>
        <v>74903</v>
      </c>
      <c r="F39" s="29">
        <f t="shared" si="11"/>
        <v>33829</v>
      </c>
      <c r="G39" s="90">
        <f t="shared" si="11"/>
        <v>149806</v>
      </c>
      <c r="H39" s="90">
        <f t="shared" si="11"/>
        <v>0</v>
      </c>
      <c r="I39" s="90">
        <f t="shared" si="11"/>
        <v>0</v>
      </c>
      <c r="J39" s="90">
        <f t="shared" si="11"/>
        <v>1000</v>
      </c>
      <c r="K39" s="90">
        <f t="shared" si="11"/>
        <v>4800</v>
      </c>
      <c r="L39" s="90">
        <f t="shared" si="11"/>
        <v>38830</v>
      </c>
      <c r="M39" s="90">
        <f t="shared" si="11"/>
        <v>1600</v>
      </c>
      <c r="N39" s="90">
        <f t="shared" si="11"/>
        <v>7920</v>
      </c>
      <c r="O39" s="90">
        <f t="shared" si="11"/>
        <v>1160</v>
      </c>
      <c r="P39" s="90">
        <f t="shared" si="11"/>
        <v>12535</v>
      </c>
      <c r="Q39" s="90"/>
      <c r="R39" s="90"/>
      <c r="S39" s="90">
        <f>SUM(S34:S38)</f>
        <v>1860</v>
      </c>
      <c r="T39" s="90">
        <f>SUM(T34:T38)</f>
        <v>69705</v>
      </c>
      <c r="U39" s="90">
        <f>SUM(U34:U38)</f>
        <v>80101</v>
      </c>
      <c r="V39" s="61"/>
      <c r="W39" s="61"/>
      <c r="X39" s="63"/>
      <c r="Y39" s="61"/>
    </row>
    <row r="40" spans="2:25" ht="21.75" customHeight="1">
      <c r="B40" s="15" t="s">
        <v>17</v>
      </c>
      <c r="C40" s="71">
        <f>SUM(D40:F40)</f>
        <v>5801</v>
      </c>
      <c r="D40" s="35">
        <v>2243</v>
      </c>
      <c r="E40" s="35">
        <v>2243</v>
      </c>
      <c r="F40" s="35">
        <v>1315</v>
      </c>
      <c r="G40" s="86">
        <f>SUM(D40:E40)</f>
        <v>4486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00">
        <v>272.5</v>
      </c>
      <c r="S40" s="83"/>
      <c r="T40" s="101">
        <f>SUM(H40:S40)</f>
        <v>272.5</v>
      </c>
      <c r="U40" s="92">
        <f>G40-T40</f>
        <v>4213.5</v>
      </c>
      <c r="V40" s="61"/>
      <c r="W40" s="61"/>
      <c r="X40" s="63"/>
      <c r="Y40" s="61"/>
    </row>
    <row r="41" spans="2:25" ht="21.75" customHeight="1">
      <c r="B41" s="16" t="s">
        <v>18</v>
      </c>
      <c r="C41" s="71">
        <f>SUM(D41:F41)</f>
        <v>6254</v>
      </c>
      <c r="D41" s="33">
        <v>3099</v>
      </c>
      <c r="E41" s="33">
        <v>3099</v>
      </c>
      <c r="F41" s="33">
        <v>56</v>
      </c>
      <c r="G41" s="86">
        <f>SUM(D41:E41)</f>
        <v>6198</v>
      </c>
      <c r="H41" s="86">
        <f>1475+1525</f>
        <v>3000</v>
      </c>
      <c r="I41" s="86"/>
      <c r="J41" s="86"/>
      <c r="K41" s="86"/>
      <c r="L41" s="86"/>
      <c r="M41" s="86"/>
      <c r="N41" s="86">
        <v>3198</v>
      </c>
      <c r="O41" s="86"/>
      <c r="P41" s="86"/>
      <c r="Q41" s="86"/>
      <c r="R41" s="86"/>
      <c r="S41" s="86"/>
      <c r="T41" s="92">
        <f>SUM(H41:S41)</f>
        <v>6198</v>
      </c>
      <c r="U41" s="92">
        <f>G41-T41</f>
        <v>0</v>
      </c>
      <c r="V41" s="61"/>
      <c r="W41" s="61"/>
      <c r="X41" s="48"/>
      <c r="Y41" s="61"/>
    </row>
    <row r="42" spans="2:25" ht="21.75" customHeight="1">
      <c r="B42" s="16" t="s">
        <v>19</v>
      </c>
      <c r="C42" s="71">
        <f>SUM(D42:F42)</f>
        <v>6554</v>
      </c>
      <c r="D42" s="33">
        <v>3027</v>
      </c>
      <c r="E42" s="33">
        <v>3027</v>
      </c>
      <c r="F42" s="53">
        <v>500</v>
      </c>
      <c r="G42" s="86">
        <f>SUM(D42:E42)</f>
        <v>6054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92">
        <f>SUM(H42:S42)</f>
        <v>0</v>
      </c>
      <c r="U42" s="92">
        <f>G42-T42</f>
        <v>6054</v>
      </c>
      <c r="V42" s="61"/>
      <c r="W42" s="61"/>
      <c r="X42" s="63"/>
      <c r="Y42" s="61"/>
    </row>
    <row r="43" spans="2:25" ht="21.75" customHeight="1">
      <c r="B43" s="2" t="s">
        <v>2</v>
      </c>
      <c r="C43" s="29">
        <f aca="true" t="shared" si="12" ref="C43:O43">SUM(C40:C42)</f>
        <v>18609</v>
      </c>
      <c r="D43" s="29">
        <f t="shared" si="12"/>
        <v>8369</v>
      </c>
      <c r="E43" s="29">
        <f t="shared" si="12"/>
        <v>8369</v>
      </c>
      <c r="F43" s="29">
        <f t="shared" si="12"/>
        <v>1871</v>
      </c>
      <c r="G43" s="90">
        <f t="shared" si="12"/>
        <v>16738</v>
      </c>
      <c r="H43" s="90">
        <f t="shared" si="12"/>
        <v>3000</v>
      </c>
      <c r="I43" s="90">
        <f t="shared" si="12"/>
        <v>0</v>
      </c>
      <c r="J43" s="90">
        <f t="shared" si="12"/>
        <v>0</v>
      </c>
      <c r="K43" s="90">
        <f t="shared" si="12"/>
        <v>0</v>
      </c>
      <c r="L43" s="90">
        <f t="shared" si="12"/>
        <v>0</v>
      </c>
      <c r="M43" s="90">
        <f t="shared" si="12"/>
        <v>0</v>
      </c>
      <c r="N43" s="90">
        <f t="shared" si="12"/>
        <v>3198</v>
      </c>
      <c r="O43" s="90">
        <f t="shared" si="12"/>
        <v>0</v>
      </c>
      <c r="P43" s="90"/>
      <c r="Q43" s="90"/>
      <c r="R43" s="102">
        <f>SUM(R40:R42)</f>
        <v>272.5</v>
      </c>
      <c r="S43" s="90"/>
      <c r="T43" s="103">
        <f>SUM(T40:T42)</f>
        <v>6470.5</v>
      </c>
      <c r="U43" s="103">
        <f>SUM(U40:U42)</f>
        <v>10267.5</v>
      </c>
      <c r="V43" s="61"/>
      <c r="W43" s="61"/>
      <c r="X43" s="63"/>
      <c r="Y43" s="61"/>
    </row>
    <row r="44" spans="2:25" ht="21.75" customHeight="1">
      <c r="B44" s="15" t="s">
        <v>27</v>
      </c>
      <c r="C44" s="71">
        <f>SUM(D44:F44)</f>
        <v>11216</v>
      </c>
      <c r="D44" s="34">
        <v>4860</v>
      </c>
      <c r="E44" s="34">
        <v>4860</v>
      </c>
      <c r="F44" s="34">
        <v>1496</v>
      </c>
      <c r="G44" s="86">
        <f>SUM(D44:E44)</f>
        <v>9720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5">
        <f>SUM(H44:J44)</f>
        <v>0</v>
      </c>
      <c r="U44" s="85">
        <f>G44-T44</f>
        <v>9720</v>
      </c>
      <c r="V44" s="61"/>
      <c r="W44" s="61"/>
      <c r="X44" s="48"/>
      <c r="Y44" s="61"/>
    </row>
    <row r="45" spans="2:25" ht="21.75" customHeight="1">
      <c r="B45" s="16" t="s">
        <v>26</v>
      </c>
      <c r="C45" s="71">
        <f>SUM(D45:F45)</f>
        <v>4891</v>
      </c>
      <c r="D45" s="31">
        <v>1312</v>
      </c>
      <c r="E45" s="31">
        <v>1312</v>
      </c>
      <c r="F45" s="31">
        <v>2267</v>
      </c>
      <c r="G45" s="86">
        <f>SUM(D45:E45)</f>
        <v>2624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92">
        <f>SUM(H45:J45)</f>
        <v>0</v>
      </c>
      <c r="U45" s="92">
        <f>G45-T45</f>
        <v>2624</v>
      </c>
      <c r="V45" s="61"/>
      <c r="W45" s="61"/>
      <c r="X45" s="63"/>
      <c r="Y45" s="61"/>
    </row>
    <row r="46" spans="2:25" ht="21.75" customHeight="1">
      <c r="B46" s="16" t="s">
        <v>25</v>
      </c>
      <c r="C46" s="71">
        <f>SUM(D46:F46)</f>
        <v>20617</v>
      </c>
      <c r="D46" s="31">
        <v>7320</v>
      </c>
      <c r="E46" s="31">
        <v>7320</v>
      </c>
      <c r="F46" s="31">
        <v>5977</v>
      </c>
      <c r="G46" s="86">
        <f>SUM(D46:E46)</f>
        <v>14640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92">
        <f>SUM(H46:J46)</f>
        <v>0</v>
      </c>
      <c r="U46" s="92">
        <f>G46-T46</f>
        <v>14640</v>
      </c>
      <c r="V46" s="61"/>
      <c r="W46" s="61"/>
      <c r="X46" s="63"/>
      <c r="Y46" s="61"/>
    </row>
    <row r="47" spans="2:25" ht="21.75" customHeight="1">
      <c r="B47" s="17" t="s">
        <v>28</v>
      </c>
      <c r="C47" s="71">
        <f>SUM(D47:F47)</f>
        <v>19523</v>
      </c>
      <c r="D47" s="34">
        <v>6863</v>
      </c>
      <c r="E47" s="34">
        <v>6863</v>
      </c>
      <c r="F47" s="34">
        <v>5797</v>
      </c>
      <c r="G47" s="86">
        <f>SUM(D47:E47)</f>
        <v>13726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9">
        <f>SUM(H47:J47)</f>
        <v>0</v>
      </c>
      <c r="U47" s="89">
        <f>G47-T47</f>
        <v>13726</v>
      </c>
      <c r="V47" s="61"/>
      <c r="W47" s="61"/>
      <c r="X47" s="63"/>
      <c r="Y47" s="61"/>
    </row>
    <row r="48" spans="2:25" ht="21.75" customHeight="1">
      <c r="B48" s="2" t="s">
        <v>2</v>
      </c>
      <c r="C48" s="29">
        <f aca="true" t="shared" si="13" ref="C48:U48">SUM(C44:C47)</f>
        <v>56247</v>
      </c>
      <c r="D48" s="29">
        <f t="shared" si="13"/>
        <v>20355</v>
      </c>
      <c r="E48" s="29">
        <f t="shared" si="13"/>
        <v>20355</v>
      </c>
      <c r="F48" s="29">
        <f t="shared" si="13"/>
        <v>15537</v>
      </c>
      <c r="G48" s="90">
        <f t="shared" si="13"/>
        <v>40710</v>
      </c>
      <c r="H48" s="90">
        <f t="shared" si="13"/>
        <v>0</v>
      </c>
      <c r="I48" s="90">
        <f t="shared" si="13"/>
        <v>0</v>
      </c>
      <c r="J48" s="90">
        <f t="shared" si="13"/>
        <v>0</v>
      </c>
      <c r="K48" s="90">
        <f t="shared" si="13"/>
        <v>0</v>
      </c>
      <c r="L48" s="90">
        <f>SUM(L44:L47)</f>
        <v>0</v>
      </c>
      <c r="M48" s="90">
        <f>SUM(M44:M47)</f>
        <v>0</v>
      </c>
      <c r="N48" s="90"/>
      <c r="O48" s="90"/>
      <c r="P48" s="90"/>
      <c r="Q48" s="90"/>
      <c r="R48" s="90"/>
      <c r="S48" s="90"/>
      <c r="T48" s="90">
        <f t="shared" si="13"/>
        <v>0</v>
      </c>
      <c r="U48" s="90">
        <f t="shared" si="13"/>
        <v>40710</v>
      </c>
      <c r="V48" s="61"/>
      <c r="W48" s="61"/>
      <c r="X48" s="65"/>
      <c r="Y48" s="61"/>
    </row>
    <row r="49" spans="2:25" ht="21.75" customHeight="1">
      <c r="B49" s="16" t="s">
        <v>12</v>
      </c>
      <c r="C49" s="71">
        <f aca="true" t="shared" si="14" ref="C49:C60">SUM(D49:F49)</f>
        <v>12422</v>
      </c>
      <c r="D49" s="40">
        <v>6147</v>
      </c>
      <c r="E49" s="40">
        <v>6147</v>
      </c>
      <c r="F49" s="54">
        <v>128</v>
      </c>
      <c r="G49" s="86">
        <f aca="true" t="shared" si="15" ref="G49:G60">SUM(D49:E49)</f>
        <v>12294</v>
      </c>
      <c r="H49" s="83"/>
      <c r="I49" s="83"/>
      <c r="J49" s="83"/>
      <c r="K49" s="82"/>
      <c r="L49" s="82"/>
      <c r="M49" s="82"/>
      <c r="N49" s="82"/>
      <c r="O49" s="82"/>
      <c r="P49" s="82"/>
      <c r="Q49" s="82"/>
      <c r="R49" s="82"/>
      <c r="S49" s="82"/>
      <c r="T49" s="92">
        <f>SUM(H49:J49)</f>
        <v>0</v>
      </c>
      <c r="U49" s="92">
        <f aca="true" t="shared" si="16" ref="U49:U60">G49-T49</f>
        <v>12294</v>
      </c>
      <c r="V49" s="61"/>
      <c r="W49" s="61"/>
      <c r="X49" s="63"/>
      <c r="Y49" s="61"/>
    </row>
    <row r="50" spans="2:25" ht="21.75" customHeight="1">
      <c r="B50" s="19" t="s">
        <v>3</v>
      </c>
      <c r="C50" s="71">
        <f t="shared" si="14"/>
        <v>14046</v>
      </c>
      <c r="D50" s="41">
        <v>4791</v>
      </c>
      <c r="E50" s="41">
        <v>4791</v>
      </c>
      <c r="F50" s="41">
        <v>4464</v>
      </c>
      <c r="G50" s="86">
        <f t="shared" si="15"/>
        <v>9582</v>
      </c>
      <c r="H50" s="86">
        <v>9582</v>
      </c>
      <c r="I50" s="86"/>
      <c r="J50" s="86"/>
      <c r="K50" s="86"/>
      <c r="L50" s="86"/>
      <c r="M50" s="86"/>
      <c r="N50" s="86"/>
      <c r="O50" s="86"/>
      <c r="P50" s="86"/>
      <c r="Q50" s="93"/>
      <c r="R50" s="93"/>
      <c r="S50" s="93"/>
      <c r="T50" s="104">
        <f>SUM(H50:J50)</f>
        <v>9582</v>
      </c>
      <c r="U50" s="92">
        <f t="shared" si="16"/>
        <v>0</v>
      </c>
      <c r="V50" s="61"/>
      <c r="W50" s="61"/>
      <c r="X50" s="63"/>
      <c r="Y50" s="61"/>
    </row>
    <row r="51" spans="2:25" ht="21.75" customHeight="1">
      <c r="B51" s="16" t="s">
        <v>33</v>
      </c>
      <c r="C51" s="71">
        <f t="shared" si="14"/>
        <v>12185</v>
      </c>
      <c r="D51" s="40">
        <v>5513</v>
      </c>
      <c r="E51" s="40">
        <v>5513</v>
      </c>
      <c r="F51" s="40">
        <v>1159</v>
      </c>
      <c r="G51" s="86">
        <f t="shared" si="15"/>
        <v>11026</v>
      </c>
      <c r="H51" s="86"/>
      <c r="I51" s="86"/>
      <c r="J51" s="86"/>
      <c r="K51" s="86"/>
      <c r="L51" s="86"/>
      <c r="M51" s="86"/>
      <c r="N51" s="86">
        <v>960</v>
      </c>
      <c r="O51" s="86">
        <f>960+800</f>
        <v>1760</v>
      </c>
      <c r="P51" s="86"/>
      <c r="Q51" s="82"/>
      <c r="R51" s="82"/>
      <c r="S51" s="82"/>
      <c r="T51" s="88">
        <f>SUM(H51:P51)</f>
        <v>2720</v>
      </c>
      <c r="U51" s="92">
        <f t="shared" si="16"/>
        <v>8306</v>
      </c>
      <c r="V51" s="61"/>
      <c r="W51" s="61"/>
      <c r="X51" s="63"/>
      <c r="Y51" s="61"/>
    </row>
    <row r="52" spans="2:25" ht="21.75" customHeight="1">
      <c r="B52" s="16" t="s">
        <v>34</v>
      </c>
      <c r="C52" s="71">
        <f t="shared" si="14"/>
        <v>15863</v>
      </c>
      <c r="D52" s="40">
        <v>6688</v>
      </c>
      <c r="E52" s="40">
        <v>6688</v>
      </c>
      <c r="F52" s="40">
        <v>2487</v>
      </c>
      <c r="G52" s="86">
        <f t="shared" si="15"/>
        <v>13376</v>
      </c>
      <c r="H52" s="86"/>
      <c r="I52" s="86"/>
      <c r="J52" s="86"/>
      <c r="K52" s="86"/>
      <c r="L52" s="86"/>
      <c r="M52" s="86"/>
      <c r="N52" s="86"/>
      <c r="O52" s="86">
        <v>800</v>
      </c>
      <c r="P52" s="86"/>
      <c r="Q52" s="86"/>
      <c r="R52" s="86"/>
      <c r="S52" s="86"/>
      <c r="T52" s="88">
        <f>SUM(H52:P52)</f>
        <v>800</v>
      </c>
      <c r="U52" s="92">
        <f t="shared" si="16"/>
        <v>12576</v>
      </c>
      <c r="V52" s="61"/>
      <c r="W52" s="61"/>
      <c r="X52" s="63"/>
      <c r="Y52" s="61"/>
    </row>
    <row r="53" spans="2:25" ht="21.75" customHeight="1">
      <c r="B53" s="16" t="s">
        <v>35</v>
      </c>
      <c r="C53" s="71">
        <f t="shared" si="14"/>
        <v>13272</v>
      </c>
      <c r="D53" s="31">
        <v>5691</v>
      </c>
      <c r="E53" s="31">
        <v>5691</v>
      </c>
      <c r="F53" s="31">
        <v>1890</v>
      </c>
      <c r="G53" s="86">
        <f t="shared" si="15"/>
        <v>11382</v>
      </c>
      <c r="H53" s="86"/>
      <c r="I53" s="86"/>
      <c r="J53" s="86"/>
      <c r="K53" s="86"/>
      <c r="L53" s="86"/>
      <c r="M53" s="86"/>
      <c r="N53" s="86"/>
      <c r="O53" s="86">
        <v>800</v>
      </c>
      <c r="P53" s="86"/>
      <c r="Q53" s="86"/>
      <c r="R53" s="86"/>
      <c r="S53" s="86"/>
      <c r="T53" s="88">
        <f>SUM(H53:P53)</f>
        <v>800</v>
      </c>
      <c r="U53" s="92">
        <f t="shared" si="16"/>
        <v>10582</v>
      </c>
      <c r="V53" s="61"/>
      <c r="W53" s="61"/>
      <c r="X53" s="63"/>
      <c r="Y53" s="61"/>
    </row>
    <row r="54" spans="2:25" ht="21.75" customHeight="1">
      <c r="B54" s="16" t="s">
        <v>36</v>
      </c>
      <c r="C54" s="71">
        <f t="shared" si="14"/>
        <v>14195</v>
      </c>
      <c r="D54" s="31">
        <v>5336</v>
      </c>
      <c r="E54" s="31">
        <v>5336</v>
      </c>
      <c r="F54" s="31">
        <v>3523</v>
      </c>
      <c r="G54" s="86">
        <f t="shared" si="15"/>
        <v>10672</v>
      </c>
      <c r="H54" s="86"/>
      <c r="I54" s="86"/>
      <c r="J54" s="86"/>
      <c r="K54" s="86"/>
      <c r="L54" s="86"/>
      <c r="M54" s="86"/>
      <c r="N54" s="86">
        <f>960+960</f>
        <v>1920</v>
      </c>
      <c r="O54" s="86">
        <f>960+800+960</f>
        <v>2720</v>
      </c>
      <c r="P54" s="86"/>
      <c r="Q54" s="86"/>
      <c r="R54" s="86"/>
      <c r="S54" s="86"/>
      <c r="T54" s="92">
        <f>SUM(H54:P54)</f>
        <v>4640</v>
      </c>
      <c r="U54" s="92">
        <f t="shared" si="16"/>
        <v>6032</v>
      </c>
      <c r="V54" s="61"/>
      <c r="W54" s="61"/>
      <c r="X54" s="63"/>
      <c r="Y54" s="61"/>
    </row>
    <row r="55" spans="2:25" ht="21.75" customHeight="1">
      <c r="B55" s="16" t="s">
        <v>37</v>
      </c>
      <c r="C55" s="71">
        <f t="shared" si="14"/>
        <v>8812</v>
      </c>
      <c r="D55" s="31">
        <v>3753</v>
      </c>
      <c r="E55" s="31">
        <v>3753</v>
      </c>
      <c r="F55" s="31">
        <v>1306</v>
      </c>
      <c r="G55" s="86">
        <f t="shared" si="15"/>
        <v>7506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92">
        <f aca="true" t="shared" si="17" ref="T55:T60">SUM(H55:P55)</f>
        <v>0</v>
      </c>
      <c r="U55" s="92">
        <f t="shared" si="16"/>
        <v>7506</v>
      </c>
      <c r="V55" s="61"/>
      <c r="W55" s="61"/>
      <c r="X55" s="63"/>
      <c r="Y55" s="61"/>
    </row>
    <row r="56" spans="2:25" ht="21.75" customHeight="1">
      <c r="B56" s="16" t="s">
        <v>46</v>
      </c>
      <c r="C56" s="71">
        <f t="shared" si="14"/>
        <v>28905</v>
      </c>
      <c r="D56" s="31">
        <v>10635</v>
      </c>
      <c r="E56" s="31">
        <v>10635</v>
      </c>
      <c r="F56" s="31">
        <v>7635</v>
      </c>
      <c r="G56" s="86">
        <f t="shared" si="15"/>
        <v>21270</v>
      </c>
      <c r="H56" s="86"/>
      <c r="I56" s="86"/>
      <c r="J56" s="86"/>
      <c r="K56" s="86"/>
      <c r="L56" s="86"/>
      <c r="M56" s="86"/>
      <c r="N56" s="86">
        <v>960</v>
      </c>
      <c r="O56" s="86"/>
      <c r="P56" s="86"/>
      <c r="Q56" s="86"/>
      <c r="R56" s="86"/>
      <c r="S56" s="86"/>
      <c r="T56" s="92">
        <f t="shared" si="17"/>
        <v>960</v>
      </c>
      <c r="U56" s="92">
        <f t="shared" si="16"/>
        <v>20310</v>
      </c>
      <c r="V56" s="61"/>
      <c r="W56" s="61"/>
      <c r="X56" s="63"/>
      <c r="Y56" s="61"/>
    </row>
    <row r="57" spans="2:25" ht="21.75" customHeight="1">
      <c r="B57" s="16" t="s">
        <v>38</v>
      </c>
      <c r="C57" s="71">
        <f t="shared" si="14"/>
        <v>27724</v>
      </c>
      <c r="D57" s="31">
        <v>11537</v>
      </c>
      <c r="E57" s="31">
        <v>11537</v>
      </c>
      <c r="F57" s="31">
        <v>4650</v>
      </c>
      <c r="G57" s="86">
        <f t="shared" si="15"/>
        <v>23074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92">
        <f t="shared" si="17"/>
        <v>0</v>
      </c>
      <c r="U57" s="92">
        <f t="shared" si="16"/>
        <v>23074</v>
      </c>
      <c r="V57" s="61"/>
      <c r="W57" s="61"/>
      <c r="X57" s="63"/>
      <c r="Y57" s="61"/>
    </row>
    <row r="58" spans="2:25" ht="21.75" customHeight="1">
      <c r="B58" s="16" t="s">
        <v>39</v>
      </c>
      <c r="C58" s="71">
        <f t="shared" si="14"/>
        <v>8292</v>
      </c>
      <c r="D58" s="31">
        <v>3247</v>
      </c>
      <c r="E58" s="31">
        <v>3247</v>
      </c>
      <c r="F58" s="31">
        <v>1798</v>
      </c>
      <c r="G58" s="86">
        <f t="shared" si="15"/>
        <v>6494</v>
      </c>
      <c r="H58" s="86"/>
      <c r="I58" s="86"/>
      <c r="J58" s="86"/>
      <c r="K58" s="86"/>
      <c r="L58" s="86">
        <f>160+190</f>
        <v>350</v>
      </c>
      <c r="M58" s="86"/>
      <c r="N58" s="86"/>
      <c r="O58" s="86"/>
      <c r="P58" s="86"/>
      <c r="Q58" s="86"/>
      <c r="R58" s="86"/>
      <c r="S58" s="86"/>
      <c r="T58" s="92">
        <f t="shared" si="17"/>
        <v>350</v>
      </c>
      <c r="U58" s="92">
        <f t="shared" si="16"/>
        <v>6144</v>
      </c>
      <c r="V58" s="61"/>
      <c r="W58" s="61"/>
      <c r="X58" s="63"/>
      <c r="Y58" s="61"/>
    </row>
    <row r="59" spans="2:25" ht="21.75" customHeight="1">
      <c r="B59" s="16" t="s">
        <v>41</v>
      </c>
      <c r="C59" s="71">
        <f t="shared" si="14"/>
        <v>14627</v>
      </c>
      <c r="D59" s="31">
        <v>6136</v>
      </c>
      <c r="E59" s="31">
        <v>6136</v>
      </c>
      <c r="F59" s="31">
        <v>2355</v>
      </c>
      <c r="G59" s="86">
        <f t="shared" si="15"/>
        <v>12272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92">
        <f t="shared" si="17"/>
        <v>0</v>
      </c>
      <c r="U59" s="92">
        <f t="shared" si="16"/>
        <v>12272</v>
      </c>
      <c r="V59" s="61"/>
      <c r="W59" s="61"/>
      <c r="X59" s="63"/>
      <c r="Y59" s="61"/>
    </row>
    <row r="60" spans="2:25" ht="21.75" customHeight="1">
      <c r="B60" s="15" t="s">
        <v>42</v>
      </c>
      <c r="C60" s="71">
        <f t="shared" si="14"/>
        <v>16860</v>
      </c>
      <c r="D60" s="34">
        <v>6881</v>
      </c>
      <c r="E60" s="34">
        <v>6881</v>
      </c>
      <c r="F60" s="34">
        <v>3098</v>
      </c>
      <c r="G60" s="86">
        <f t="shared" si="15"/>
        <v>13762</v>
      </c>
      <c r="H60" s="87"/>
      <c r="I60" s="87"/>
      <c r="J60" s="87"/>
      <c r="K60" s="93"/>
      <c r="L60" s="93"/>
      <c r="M60" s="93"/>
      <c r="N60" s="93"/>
      <c r="O60" s="93"/>
      <c r="P60" s="93"/>
      <c r="Q60" s="93"/>
      <c r="R60" s="93"/>
      <c r="S60" s="93"/>
      <c r="T60" s="92">
        <f t="shared" si="17"/>
        <v>0</v>
      </c>
      <c r="U60" s="92">
        <f t="shared" si="16"/>
        <v>13762</v>
      </c>
      <c r="V60" s="61"/>
      <c r="W60" s="61"/>
      <c r="X60" s="63"/>
      <c r="Y60" s="61"/>
    </row>
    <row r="61" spans="2:25" ht="21.75" customHeight="1">
      <c r="B61" s="2" t="s">
        <v>2</v>
      </c>
      <c r="C61" s="29">
        <f aca="true" t="shared" si="18" ref="C61:U61">SUM(C49:C60)</f>
        <v>187203</v>
      </c>
      <c r="D61" s="29">
        <f t="shared" si="18"/>
        <v>76355</v>
      </c>
      <c r="E61" s="29">
        <f t="shared" si="18"/>
        <v>76355</v>
      </c>
      <c r="F61" s="29">
        <f t="shared" si="18"/>
        <v>34493</v>
      </c>
      <c r="G61" s="90">
        <f t="shared" si="18"/>
        <v>152710</v>
      </c>
      <c r="H61" s="90">
        <f t="shared" si="18"/>
        <v>9582</v>
      </c>
      <c r="I61" s="90">
        <f t="shared" si="18"/>
        <v>0</v>
      </c>
      <c r="J61" s="90">
        <f t="shared" si="18"/>
        <v>0</v>
      </c>
      <c r="K61" s="90">
        <f t="shared" si="18"/>
        <v>0</v>
      </c>
      <c r="L61" s="90">
        <f>SUM(L49:L60)</f>
        <v>350</v>
      </c>
      <c r="M61" s="90">
        <f>SUM(M49:M60)</f>
        <v>0</v>
      </c>
      <c r="N61" s="90">
        <f>SUM(N49:N60)</f>
        <v>3840</v>
      </c>
      <c r="O61" s="90">
        <f>SUM(O49:O60)</f>
        <v>6080</v>
      </c>
      <c r="P61" s="90">
        <f>SUM(P49:P60)</f>
        <v>0</v>
      </c>
      <c r="Q61" s="90"/>
      <c r="R61" s="90"/>
      <c r="S61" s="90"/>
      <c r="T61" s="90">
        <f t="shared" si="18"/>
        <v>19852</v>
      </c>
      <c r="U61" s="90">
        <f t="shared" si="18"/>
        <v>132858</v>
      </c>
      <c r="V61" s="61"/>
      <c r="W61" s="61"/>
      <c r="X61" s="48"/>
      <c r="Y61" s="61"/>
    </row>
    <row r="62" spans="2:25" ht="21.75" customHeight="1">
      <c r="B62" s="16" t="s">
        <v>40</v>
      </c>
      <c r="C62" s="71">
        <f>SUM(D62:F62)</f>
        <v>10406</v>
      </c>
      <c r="D62" s="31">
        <v>6454</v>
      </c>
      <c r="E62" s="31">
        <v>6454</v>
      </c>
      <c r="F62" s="36">
        <v>-2502</v>
      </c>
      <c r="G62" s="82">
        <v>10406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2">
        <f>SUM(H62:J62)</f>
        <v>0</v>
      </c>
      <c r="U62" s="92">
        <f>G62-T62</f>
        <v>10406</v>
      </c>
      <c r="V62" s="61"/>
      <c r="W62" s="61"/>
      <c r="X62" s="63"/>
      <c r="Y62" s="61"/>
    </row>
    <row r="63" spans="2:25" ht="21.75" customHeight="1">
      <c r="B63" s="16" t="s">
        <v>45</v>
      </c>
      <c r="C63" s="71">
        <f>SUM(D63:F63)</f>
        <v>16644</v>
      </c>
      <c r="D63" s="31">
        <v>5737</v>
      </c>
      <c r="E63" s="31">
        <v>5737</v>
      </c>
      <c r="F63" s="27">
        <v>5170</v>
      </c>
      <c r="G63" s="86">
        <f>SUM(D63:E63)</f>
        <v>11474</v>
      </c>
      <c r="H63" s="87"/>
      <c r="I63" s="87"/>
      <c r="J63" s="87"/>
      <c r="K63" s="93"/>
      <c r="L63" s="93"/>
      <c r="M63" s="93"/>
      <c r="N63" s="93"/>
      <c r="O63" s="93"/>
      <c r="P63" s="93"/>
      <c r="Q63" s="93"/>
      <c r="R63" s="93"/>
      <c r="S63" s="93"/>
      <c r="T63" s="92">
        <f>SUM(H63:J63)</f>
        <v>0</v>
      </c>
      <c r="U63" s="92">
        <f>G63-T63</f>
        <v>11474</v>
      </c>
      <c r="V63" s="61"/>
      <c r="W63" s="61"/>
      <c r="X63" s="63"/>
      <c r="Y63" s="61"/>
    </row>
    <row r="64" spans="2:25" ht="21.75" customHeight="1">
      <c r="B64" s="2" t="s">
        <v>2</v>
      </c>
      <c r="C64" s="29">
        <f aca="true" t="shared" si="19" ref="C64:U64">SUM(C62:C63)</f>
        <v>27050</v>
      </c>
      <c r="D64" s="29">
        <f t="shared" si="19"/>
        <v>12191</v>
      </c>
      <c r="E64" s="29">
        <f t="shared" si="19"/>
        <v>12191</v>
      </c>
      <c r="F64" s="29">
        <f t="shared" si="19"/>
        <v>2668</v>
      </c>
      <c r="G64" s="90">
        <f t="shared" si="19"/>
        <v>21880</v>
      </c>
      <c r="H64" s="90">
        <f t="shared" si="19"/>
        <v>0</v>
      </c>
      <c r="I64" s="90">
        <f t="shared" si="19"/>
        <v>0</v>
      </c>
      <c r="J64" s="90">
        <f t="shared" si="19"/>
        <v>0</v>
      </c>
      <c r="K64" s="90">
        <f t="shared" si="19"/>
        <v>0</v>
      </c>
      <c r="L64" s="90"/>
      <c r="M64" s="90"/>
      <c r="N64" s="90"/>
      <c r="O64" s="90"/>
      <c r="P64" s="90"/>
      <c r="Q64" s="90"/>
      <c r="R64" s="90"/>
      <c r="S64" s="90"/>
      <c r="T64" s="90">
        <f t="shared" si="19"/>
        <v>0</v>
      </c>
      <c r="U64" s="90">
        <f t="shared" si="19"/>
        <v>21880</v>
      </c>
      <c r="V64" s="61"/>
      <c r="W64" s="61"/>
      <c r="X64" s="48"/>
      <c r="Y64" s="61"/>
    </row>
    <row r="65" spans="2:25" ht="21.75" customHeight="1">
      <c r="B65" s="3" t="s">
        <v>0</v>
      </c>
      <c r="C65" s="29">
        <f aca="true" t="shared" si="20" ref="C65:U65">SUM(C10+C13+C21+C26+C43+C39+C48+C33+C30+C61+C64)</f>
        <v>1000000</v>
      </c>
      <c r="D65" s="29">
        <f t="shared" si="20"/>
        <v>403826</v>
      </c>
      <c r="E65" s="29">
        <f t="shared" si="20"/>
        <v>403826</v>
      </c>
      <c r="F65" s="29">
        <f t="shared" si="20"/>
        <v>192348</v>
      </c>
      <c r="G65" s="90">
        <f t="shared" si="20"/>
        <v>803260</v>
      </c>
      <c r="H65" s="90">
        <f t="shared" si="20"/>
        <v>12582</v>
      </c>
      <c r="I65" s="90">
        <f t="shared" si="20"/>
        <v>3266</v>
      </c>
      <c r="J65" s="90">
        <f t="shared" si="20"/>
        <v>1000</v>
      </c>
      <c r="K65" s="90">
        <f t="shared" si="20"/>
        <v>4800</v>
      </c>
      <c r="L65" s="90">
        <f t="shared" si="20"/>
        <v>41420</v>
      </c>
      <c r="M65" s="90">
        <f t="shared" si="20"/>
        <v>1600</v>
      </c>
      <c r="N65" s="90">
        <f t="shared" si="20"/>
        <v>57738</v>
      </c>
      <c r="O65" s="90">
        <f t="shared" si="20"/>
        <v>22740</v>
      </c>
      <c r="P65" s="90">
        <f t="shared" si="20"/>
        <v>52600</v>
      </c>
      <c r="Q65" s="90">
        <f t="shared" si="20"/>
        <v>2400</v>
      </c>
      <c r="R65" s="90">
        <f t="shared" si="20"/>
        <v>1502.5</v>
      </c>
      <c r="S65" s="90">
        <f t="shared" si="20"/>
        <v>1860</v>
      </c>
      <c r="T65" s="103">
        <f t="shared" si="20"/>
        <v>203508.5</v>
      </c>
      <c r="U65" s="103">
        <f t="shared" si="20"/>
        <v>599751.5</v>
      </c>
      <c r="V65" s="61"/>
      <c r="W65" s="48"/>
      <c r="X65" s="48"/>
      <c r="Y65" s="48"/>
    </row>
    <row r="66" spans="2:22" ht="21.75" customHeight="1">
      <c r="B66" s="12"/>
      <c r="C66" s="12"/>
      <c r="D66" s="5"/>
      <c r="E66" s="5"/>
      <c r="F66" s="5"/>
      <c r="G66" s="5"/>
      <c r="H66" s="5" t="s">
        <v>63</v>
      </c>
      <c r="I66" s="52" t="s">
        <v>72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108"/>
      <c r="U66" s="105"/>
      <c r="V66" s="57"/>
    </row>
    <row r="67" spans="2:22" ht="21.75" customHeight="1">
      <c r="B67" s="6"/>
      <c r="C67" s="6"/>
      <c r="D67" s="4"/>
      <c r="E67" s="4"/>
      <c r="F67" s="4"/>
      <c r="G67" s="20"/>
      <c r="H67" s="106"/>
      <c r="I67" s="109" t="s">
        <v>82</v>
      </c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07"/>
      <c r="V67" s="79"/>
    </row>
    <row r="68" spans="2:21" ht="21.75" customHeight="1">
      <c r="B68" s="11"/>
      <c r="C68" s="11"/>
      <c r="D68" s="4"/>
      <c r="E68" s="4"/>
      <c r="F68" s="4"/>
      <c r="G68" s="20"/>
      <c r="H68" s="1"/>
      <c r="I68" s="109" t="s">
        <v>76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25"/>
    </row>
    <row r="69" spans="7:22" ht="21.75" customHeight="1">
      <c r="G69" s="47"/>
      <c r="T69" s="47"/>
      <c r="U69" s="57"/>
      <c r="V69" s="57"/>
    </row>
    <row r="70" spans="13:22" ht="21.75" customHeight="1">
      <c r="M70" s="78"/>
      <c r="N70" s="78"/>
      <c r="O70" s="78"/>
      <c r="P70" s="78"/>
      <c r="Q70" s="78"/>
      <c r="R70" s="78"/>
      <c r="S70" s="78" t="s">
        <v>58</v>
      </c>
      <c r="T70" s="44"/>
      <c r="V70" s="57"/>
    </row>
    <row r="71" spans="13:20" ht="21.75" customHeight="1">
      <c r="M71" s="78"/>
      <c r="N71" s="78"/>
      <c r="O71" s="78"/>
      <c r="P71" s="78"/>
      <c r="Q71" s="78"/>
      <c r="R71" s="78"/>
      <c r="S71" s="78" t="s">
        <v>55</v>
      </c>
      <c r="T71" s="44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mergeCells count="7">
    <mergeCell ref="I68:T68"/>
    <mergeCell ref="B6:B7"/>
    <mergeCell ref="B2:H2"/>
    <mergeCell ref="G3:T3"/>
    <mergeCell ref="I67:T67"/>
    <mergeCell ref="G4:T4"/>
    <mergeCell ref="H6:S6"/>
  </mergeCells>
  <printOptions/>
  <pageMargins left="0.3937007874015748" right="0.1968503937007874" top="0.5118110236220472" bottom="0.9055118110236221" header="0.5118110236220472" footer="0.5118110236220472"/>
  <pageSetup horizontalDpi="600" verticalDpi="600" orientation="landscape" paperSize="9" scale="90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2010-07-07T08:00:38Z</cp:lastPrinted>
  <dcterms:created xsi:type="dcterms:W3CDTF">2000-05-16T04:16:56Z</dcterms:created>
  <dcterms:modified xsi:type="dcterms:W3CDTF">2010-07-08T08:22:16Z</dcterms:modified>
  <cp:category/>
  <cp:version/>
  <cp:contentType/>
  <cp:contentStatus/>
</cp:coreProperties>
</file>